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30" activeTab="8"/>
  </bookViews>
  <sheets>
    <sheet name="Смета 2019" sheetId="13" r:id="rId1"/>
    <sheet name="Смета 2020" sheetId="14" r:id="rId2"/>
    <sheet name="Смета 2021" sheetId="15" r:id="rId3"/>
    <sheet name="111 211" sheetId="3" r:id="rId4"/>
    <sheet name="112 212" sheetId="4" r:id="rId5"/>
    <sheet name="242" sheetId="5" r:id="rId6"/>
    <sheet name="244 223" sheetId="6" r:id="rId7"/>
    <sheet name="244 224" sheetId="7" r:id="rId8"/>
    <sheet name="244 225" sheetId="8" r:id="rId9"/>
    <sheet name="244 310" sheetId="10" r:id="rId10"/>
    <sheet name="244 340" sheetId="12" r:id="rId11"/>
  </sheets>
  <externalReferences>
    <externalReference r:id="rId12"/>
  </externalReferences>
  <definedNames>
    <definedName name="_xlnm.Print_Area" localSheetId="3">'111 211'!$A$1:$AB$39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4" l="1"/>
  <c r="I23" i="15"/>
  <c r="I42" i="15"/>
  <c r="I35" i="15"/>
  <c r="I33" i="15"/>
  <c r="I29" i="15"/>
  <c r="I28" i="15"/>
  <c r="I27" i="15" s="1"/>
  <c r="I26" i="15"/>
  <c r="I22" i="15" s="1"/>
  <c r="I48" i="15" s="1"/>
  <c r="I29" i="14"/>
  <c r="I28" i="14" s="1"/>
  <c r="I27" i="14" s="1"/>
  <c r="I23" i="14"/>
  <c r="I26" i="14" s="1"/>
  <c r="I42" i="14"/>
  <c r="I35" i="14"/>
  <c r="I33" i="14"/>
  <c r="I48" i="14" l="1"/>
  <c r="Q32" i="3" l="1"/>
  <c r="Q31" i="3"/>
  <c r="Q35" i="3"/>
  <c r="Q30" i="3"/>
  <c r="Q29" i="3"/>
  <c r="Q27" i="3"/>
  <c r="O14" i="3" l="1"/>
  <c r="U36" i="3"/>
  <c r="U37" i="3"/>
  <c r="B37" i="3" l="1"/>
  <c r="I35" i="13" l="1"/>
  <c r="I22" i="13"/>
  <c r="I42" i="13" l="1"/>
  <c r="I33" i="13"/>
  <c r="I29" i="13" l="1"/>
  <c r="I26" i="13"/>
  <c r="I28" i="13" l="1"/>
  <c r="I27" i="13" s="1"/>
  <c r="I48" i="13" s="1"/>
  <c r="G19" i="12"/>
  <c r="G20" i="12" s="1"/>
  <c r="L20" i="12"/>
  <c r="L19" i="12"/>
  <c r="R6" i="12"/>
  <c r="R7" i="12"/>
  <c r="R8" i="12"/>
  <c r="R9" i="12"/>
  <c r="R10" i="12"/>
  <c r="R11" i="12"/>
  <c r="R12" i="12"/>
  <c r="R13" i="12"/>
  <c r="R14" i="12"/>
  <c r="R15" i="12"/>
  <c r="R16" i="12"/>
  <c r="R17" i="12"/>
  <c r="R18" i="12"/>
  <c r="R19" i="12"/>
  <c r="R20" i="12"/>
  <c r="R21" i="12"/>
  <c r="R22" i="12"/>
  <c r="R23" i="12"/>
  <c r="R24" i="12"/>
  <c r="R25" i="12"/>
  <c r="R26" i="12"/>
  <c r="R27" i="12"/>
  <c r="R28" i="12"/>
  <c r="R29" i="12"/>
  <c r="R30" i="12"/>
  <c r="R31" i="12"/>
  <c r="R32" i="12"/>
  <c r="R33" i="12"/>
  <c r="R34" i="12"/>
  <c r="R35" i="12"/>
  <c r="R36" i="12"/>
  <c r="R37" i="12"/>
  <c r="R38" i="12"/>
  <c r="R39" i="12"/>
  <c r="R40" i="12"/>
  <c r="R41" i="12"/>
  <c r="R42" i="12"/>
  <c r="R43" i="12"/>
  <c r="R44" i="12"/>
  <c r="R45" i="12"/>
  <c r="R46" i="12"/>
  <c r="R47" i="12"/>
  <c r="R5" i="12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L18" i="12"/>
  <c r="L12" i="12"/>
  <c r="L11" i="12"/>
  <c r="L10" i="12"/>
  <c r="L9" i="12"/>
  <c r="L8" i="12"/>
  <c r="L7" i="12"/>
  <c r="M6" i="12"/>
  <c r="M7" i="12" s="1"/>
  <c r="M9" i="12" s="1"/>
  <c r="M10" i="12" s="1"/>
  <c r="M11" i="12" s="1"/>
  <c r="M12" i="12" s="1"/>
  <c r="M14" i="12" s="1"/>
  <c r="M15" i="12" s="1"/>
  <c r="M16" i="12" s="1"/>
  <c r="M17" i="12" s="1"/>
  <c r="M18" i="12" s="1"/>
  <c r="M20" i="12" s="1"/>
  <c r="M21" i="12" s="1"/>
  <c r="M22" i="12" s="1"/>
  <c r="M23" i="12" s="1"/>
  <c r="M24" i="12" s="1"/>
  <c r="M25" i="12" s="1"/>
  <c r="M26" i="12" s="1"/>
  <c r="M27" i="12" s="1"/>
  <c r="M28" i="12" s="1"/>
  <c r="M30" i="12" s="1"/>
  <c r="M31" i="12" s="1"/>
  <c r="M32" i="12" s="1"/>
  <c r="M33" i="12" s="1"/>
  <c r="M34" i="12" s="1"/>
  <c r="M36" i="12" s="1"/>
  <c r="M37" i="12" s="1"/>
  <c r="M38" i="12" s="1"/>
  <c r="M39" i="12" s="1"/>
  <c r="M40" i="12" s="1"/>
  <c r="M41" i="12" s="1"/>
  <c r="M42" i="12" s="1"/>
  <c r="M43" i="12" s="1"/>
  <c r="M44" i="12" s="1"/>
  <c r="M45" i="12" s="1"/>
  <c r="M46" i="12" s="1"/>
  <c r="M47" i="12" s="1"/>
  <c r="L6" i="12"/>
  <c r="G6" i="12"/>
  <c r="G7" i="12" s="1"/>
  <c r="G8" i="12" s="1"/>
  <c r="G9" i="12" s="1"/>
  <c r="G10" i="12" s="1"/>
  <c r="G11" i="12" s="1"/>
  <c r="G12" i="12" s="1"/>
  <c r="G13" i="12" s="1"/>
  <c r="L5" i="12"/>
  <c r="A5" i="12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F93" i="12" l="1"/>
  <c r="L21" i="12"/>
  <c r="R48" i="12"/>
  <c r="F44" i="12"/>
  <c r="F94" i="12" s="1"/>
  <c r="L13" i="12"/>
  <c r="F55" i="10" l="1"/>
  <c r="B3" i="10"/>
  <c r="C3" i="10" s="1"/>
  <c r="D3" i="10" s="1"/>
  <c r="E3" i="10" s="1"/>
  <c r="F3" i="10" s="1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9" i="10"/>
  <c r="A6" i="10"/>
  <c r="A7" i="10" s="1"/>
  <c r="A8" i="10" s="1"/>
  <c r="A9" i="10" s="1"/>
  <c r="A11" i="10" s="1"/>
  <c r="F6" i="10"/>
  <c r="F7" i="10"/>
  <c r="F8" i="10"/>
  <c r="G47" i="5"/>
  <c r="G46" i="5"/>
  <c r="A12" i="10" l="1"/>
  <c r="A13" i="10" s="1"/>
  <c r="A14" i="10" s="1"/>
  <c r="A15" i="10" s="1"/>
  <c r="A17" i="10" s="1"/>
  <c r="A19" i="10" s="1"/>
  <c r="G36" i="5"/>
  <c r="G37" i="5"/>
  <c r="G38" i="5"/>
  <c r="G35" i="5"/>
  <c r="F53" i="10"/>
  <c r="F52" i="10"/>
  <c r="F51" i="10"/>
  <c r="F50" i="10"/>
  <c r="F49" i="10"/>
  <c r="F47" i="10"/>
  <c r="F46" i="10"/>
  <c r="F45" i="10"/>
  <c r="F43" i="10"/>
  <c r="F19" i="10"/>
  <c r="F18" i="10" s="1"/>
  <c r="F17" i="10"/>
  <c r="F15" i="10"/>
  <c r="F14" i="10"/>
  <c r="F13" i="10"/>
  <c r="F12" i="10"/>
  <c r="F11" i="10"/>
  <c r="F5" i="10"/>
  <c r="F4" i="10" s="1"/>
  <c r="E4" i="8"/>
  <c r="A4" i="8"/>
  <c r="A5" i="8" s="1"/>
  <c r="E3" i="8"/>
  <c r="E5" i="8" s="1"/>
  <c r="F6" i="6"/>
  <c r="F5" i="6"/>
  <c r="F4" i="6"/>
  <c r="F3" i="6"/>
  <c r="G61" i="5"/>
  <c r="G60" i="5"/>
  <c r="G59" i="5"/>
  <c r="G58" i="5"/>
  <c r="G57" i="5"/>
  <c r="G56" i="5"/>
  <c r="A56" i="5"/>
  <c r="A57" i="5" s="1"/>
  <c r="A58" i="5" s="1"/>
  <c r="A59" i="5" s="1"/>
  <c r="A60" i="5" s="1"/>
  <c r="A61" i="5" s="1"/>
  <c r="G55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F39" i="4"/>
  <c r="F38" i="4"/>
  <c r="F37" i="4"/>
  <c r="F36" i="4"/>
  <c r="F35" i="4"/>
  <c r="F34" i="4"/>
  <c r="E33" i="4"/>
  <c r="F33" i="4" s="1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E10" i="4"/>
  <c r="F10" i="4" s="1"/>
  <c r="F9" i="4"/>
  <c r="F8" i="4"/>
  <c r="F7" i="4"/>
  <c r="F6" i="4"/>
  <c r="Z5" i="4"/>
  <c r="S5" i="4"/>
  <c r="M5" i="4"/>
  <c r="F5" i="4"/>
  <c r="Z4" i="4"/>
  <c r="T4" i="4"/>
  <c r="T5" i="4" s="1"/>
  <c r="S4" i="4"/>
  <c r="N4" i="4"/>
  <c r="N5" i="4" s="1"/>
  <c r="M4" i="4"/>
  <c r="G4" i="4"/>
  <c r="G5" i="4" s="1"/>
  <c r="F4" i="4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Z3" i="4"/>
  <c r="Z6" i="4" s="1"/>
  <c r="S3" i="4"/>
  <c r="M3" i="4"/>
  <c r="F3" i="4"/>
  <c r="D37" i="3"/>
  <c r="C37" i="3"/>
  <c r="X36" i="3"/>
  <c r="W36" i="3"/>
  <c r="V36" i="3"/>
  <c r="I36" i="3"/>
  <c r="G36" i="3"/>
  <c r="E36" i="3"/>
  <c r="Y35" i="3"/>
  <c r="X35" i="3"/>
  <c r="W35" i="3"/>
  <c r="V35" i="3"/>
  <c r="K35" i="3"/>
  <c r="I35" i="3"/>
  <c r="G35" i="3"/>
  <c r="U35" i="3" s="1"/>
  <c r="E35" i="3"/>
  <c r="X34" i="3"/>
  <c r="V34" i="3"/>
  <c r="G34" i="3"/>
  <c r="E34" i="3"/>
  <c r="W34" i="3" s="1"/>
  <c r="Y33" i="3"/>
  <c r="X33" i="3"/>
  <c r="V33" i="3"/>
  <c r="I33" i="3"/>
  <c r="E33" i="3"/>
  <c r="G33" i="3" s="1"/>
  <c r="X32" i="3"/>
  <c r="G32" i="3"/>
  <c r="E32" i="3"/>
  <c r="W32" i="3" s="1"/>
  <c r="Y31" i="3"/>
  <c r="X31" i="3"/>
  <c r="I31" i="3"/>
  <c r="E31" i="3"/>
  <c r="G31" i="3" s="1"/>
  <c r="X30" i="3"/>
  <c r="G30" i="3"/>
  <c r="E30" i="3"/>
  <c r="W30" i="3" s="1"/>
  <c r="Y29" i="3"/>
  <c r="X29" i="3"/>
  <c r="I29" i="3"/>
  <c r="E29" i="3"/>
  <c r="G29" i="3" s="1"/>
  <c r="X28" i="3"/>
  <c r="G28" i="3"/>
  <c r="E28" i="3"/>
  <c r="W28" i="3" s="1"/>
  <c r="X27" i="3"/>
  <c r="E27" i="3"/>
  <c r="Y27" i="3" s="1"/>
  <c r="X26" i="3"/>
  <c r="E26" i="3"/>
  <c r="W26" i="3" s="1"/>
  <c r="Y25" i="3"/>
  <c r="X25" i="3"/>
  <c r="K25" i="3"/>
  <c r="I25" i="3"/>
  <c r="G25" i="3"/>
  <c r="E25" i="3"/>
  <c r="W25" i="3" s="1"/>
  <c r="X24" i="3"/>
  <c r="E24" i="3"/>
  <c r="Y23" i="3"/>
  <c r="X23" i="3"/>
  <c r="O23" i="3"/>
  <c r="I23" i="3"/>
  <c r="G23" i="3"/>
  <c r="E23" i="3"/>
  <c r="W23" i="3" s="1"/>
  <c r="X22" i="3"/>
  <c r="W22" i="3"/>
  <c r="I22" i="3"/>
  <c r="E22" i="3"/>
  <c r="Y22" i="3" s="1"/>
  <c r="Y21" i="3"/>
  <c r="X21" i="3"/>
  <c r="W21" i="3"/>
  <c r="V21" i="3"/>
  <c r="K21" i="3"/>
  <c r="I21" i="3"/>
  <c r="G21" i="3"/>
  <c r="E21" i="3"/>
  <c r="Z21" i="3" s="1"/>
  <c r="AA21" i="3" s="1"/>
  <c r="AB21" i="3" s="1"/>
  <c r="X20" i="3"/>
  <c r="E20" i="3"/>
  <c r="Y19" i="3"/>
  <c r="X19" i="3"/>
  <c r="W19" i="3"/>
  <c r="M19" i="3"/>
  <c r="M37" i="3" s="1"/>
  <c r="K19" i="3"/>
  <c r="I19" i="3"/>
  <c r="Z19" i="3" s="1"/>
  <c r="AA19" i="3" s="1"/>
  <c r="AB19" i="3" s="1"/>
  <c r="G19" i="3"/>
  <c r="Y18" i="3"/>
  <c r="X18" i="3"/>
  <c r="W18" i="3"/>
  <c r="K18" i="3"/>
  <c r="Z18" i="3" s="1"/>
  <c r="AA18" i="3" s="1"/>
  <c r="AB18" i="3" s="1"/>
  <c r="I18" i="3"/>
  <c r="G18" i="3"/>
  <c r="Y17" i="3"/>
  <c r="X17" i="3"/>
  <c r="W17" i="3"/>
  <c r="K17" i="3"/>
  <c r="I17" i="3"/>
  <c r="G17" i="3"/>
  <c r="Z17" i="3" s="1"/>
  <c r="AA17" i="3" s="1"/>
  <c r="AB17" i="3" s="1"/>
  <c r="Y16" i="3"/>
  <c r="X16" i="3"/>
  <c r="K16" i="3"/>
  <c r="I16" i="3"/>
  <c r="G16" i="3"/>
  <c r="Z16" i="3" s="1"/>
  <c r="AA16" i="3" s="1"/>
  <c r="AB16" i="3" s="1"/>
  <c r="E16" i="3"/>
  <c r="W16" i="3" s="1"/>
  <c r="X15" i="3"/>
  <c r="W15" i="3"/>
  <c r="I15" i="3"/>
  <c r="G15" i="3"/>
  <c r="Z15" i="3" s="1"/>
  <c r="AA15" i="3" s="1"/>
  <c r="AB15" i="3" s="1"/>
  <c r="E15" i="3"/>
  <c r="X14" i="3"/>
  <c r="E14" i="3"/>
  <c r="Y13" i="3"/>
  <c r="X13" i="3"/>
  <c r="G13" i="3"/>
  <c r="E13" i="3"/>
  <c r="W13" i="3" s="1"/>
  <c r="Y12" i="3"/>
  <c r="X12" i="3"/>
  <c r="I12" i="3"/>
  <c r="Z12" i="3" s="1"/>
  <c r="AA12" i="3" s="1"/>
  <c r="AB12" i="3" s="1"/>
  <c r="G12" i="3"/>
  <c r="E12" i="3"/>
  <c r="W12" i="3" s="1"/>
  <c r="X11" i="3"/>
  <c r="V11" i="3"/>
  <c r="E11" i="3"/>
  <c r="Y10" i="3"/>
  <c r="X10" i="3"/>
  <c r="W10" i="3"/>
  <c r="V10" i="3"/>
  <c r="K10" i="3"/>
  <c r="I10" i="3"/>
  <c r="G10" i="3"/>
  <c r="E10" i="3"/>
  <c r="Z10" i="3" s="1"/>
  <c r="AA10" i="3" s="1"/>
  <c r="AB10" i="3" s="1"/>
  <c r="X9" i="3"/>
  <c r="V9" i="3"/>
  <c r="G9" i="3"/>
  <c r="E9" i="3"/>
  <c r="W9" i="3" s="1"/>
  <c r="X8" i="3"/>
  <c r="I8" i="3"/>
  <c r="G8" i="3"/>
  <c r="E8" i="3"/>
  <c r="W8" i="3" s="1"/>
  <c r="X7" i="3"/>
  <c r="E7" i="3"/>
  <c r="Y6" i="3"/>
  <c r="X6" i="3"/>
  <c r="W6" i="3"/>
  <c r="V6" i="3"/>
  <c r="K6" i="3"/>
  <c r="I6" i="3"/>
  <c r="G6" i="3"/>
  <c r="E6" i="3"/>
  <c r="Z6" i="3" s="1"/>
  <c r="AA6" i="3" s="1"/>
  <c r="AB6" i="3" s="1"/>
  <c r="X5" i="3"/>
  <c r="G5" i="3"/>
  <c r="E5" i="3"/>
  <c r="W5" i="3" s="1"/>
  <c r="Y4" i="3"/>
  <c r="X4" i="3"/>
  <c r="I4" i="3"/>
  <c r="G4" i="3"/>
  <c r="E4" i="3"/>
  <c r="W4" i="3" s="1"/>
  <c r="X3" i="3"/>
  <c r="X37" i="3" s="1"/>
  <c r="V3" i="3"/>
  <c r="V37" i="3" s="1"/>
  <c r="E3" i="3"/>
  <c r="F48" i="10" l="1"/>
  <c r="F10" i="10"/>
  <c r="F54" i="10" s="1"/>
  <c r="F44" i="10"/>
  <c r="A20" i="10"/>
  <c r="A21" i="10" s="1"/>
  <c r="A22" i="10" s="1"/>
  <c r="A23" i="10" s="1"/>
  <c r="A24" i="10" s="1"/>
  <c r="A25" i="10" s="1"/>
  <c r="A26" i="10" s="1"/>
  <c r="S6" i="4"/>
  <c r="M6" i="4"/>
  <c r="G39" i="5"/>
  <c r="G49" i="5" s="1"/>
  <c r="F40" i="4"/>
  <c r="F7" i="6"/>
  <c r="G62" i="5"/>
  <c r="G19" i="5"/>
  <c r="Z35" i="3"/>
  <c r="AA35" i="3" s="1"/>
  <c r="AB35" i="3" s="1"/>
  <c r="Z8" i="3"/>
  <c r="AA8" i="3" s="1"/>
  <c r="AB8" i="3" s="1"/>
  <c r="Z23" i="3"/>
  <c r="AA23" i="3" s="1"/>
  <c r="AB23" i="3" s="1"/>
  <c r="Z25" i="3"/>
  <c r="AA25" i="3" s="1"/>
  <c r="AB25" i="3" s="1"/>
  <c r="Z29" i="3"/>
  <c r="AA29" i="3" s="1"/>
  <c r="AB29" i="3" s="1"/>
  <c r="Z4" i="3"/>
  <c r="AA4" i="3" s="1"/>
  <c r="AB4" i="3" s="1"/>
  <c r="Z36" i="3"/>
  <c r="AA36" i="3" s="1"/>
  <c r="AB36" i="3" s="1"/>
  <c r="W3" i="3"/>
  <c r="W7" i="3"/>
  <c r="W24" i="3"/>
  <c r="Z27" i="3"/>
  <c r="AA27" i="3" s="1"/>
  <c r="AB27" i="3" s="1"/>
  <c r="G3" i="3"/>
  <c r="I5" i="3"/>
  <c r="Y5" i="3"/>
  <c r="G7" i="3"/>
  <c r="Z7" i="3" s="1"/>
  <c r="AA7" i="3" s="1"/>
  <c r="AB7" i="3" s="1"/>
  <c r="K8" i="3"/>
  <c r="I9" i="3"/>
  <c r="Y9" i="3"/>
  <c r="G11" i="3"/>
  <c r="Z11" i="3" s="1"/>
  <c r="AA11" i="3" s="1"/>
  <c r="AB11" i="3" s="1"/>
  <c r="W11" i="3"/>
  <c r="I13" i="3"/>
  <c r="Z13" i="3"/>
  <c r="AA13" i="3" s="1"/>
  <c r="AB13" i="3" s="1"/>
  <c r="G14" i="3"/>
  <c r="Z14" i="3" s="1"/>
  <c r="AA14" i="3" s="1"/>
  <c r="AB14" i="3" s="1"/>
  <c r="G20" i="3"/>
  <c r="Z20" i="3" s="1"/>
  <c r="AA20" i="3" s="1"/>
  <c r="AB20" i="3" s="1"/>
  <c r="G24" i="3"/>
  <c r="G26" i="3"/>
  <c r="Z26" i="3"/>
  <c r="AA26" i="3" s="1"/>
  <c r="AB26" i="3" s="1"/>
  <c r="G27" i="3"/>
  <c r="W27" i="3"/>
  <c r="I28" i="3"/>
  <c r="Y28" i="3"/>
  <c r="W29" i="3"/>
  <c r="I30" i="3"/>
  <c r="Y30" i="3"/>
  <c r="Z30" i="3" s="1"/>
  <c r="AA30" i="3" s="1"/>
  <c r="AB30" i="3" s="1"/>
  <c r="W31" i="3"/>
  <c r="Z31" i="3" s="1"/>
  <c r="AA31" i="3" s="1"/>
  <c r="AB31" i="3" s="1"/>
  <c r="I32" i="3"/>
  <c r="Y32" i="3"/>
  <c r="W33" i="3"/>
  <c r="Z33" i="3" s="1"/>
  <c r="AA33" i="3" s="1"/>
  <c r="AB33" i="3" s="1"/>
  <c r="I34" i="3"/>
  <c r="Z34" i="3" s="1"/>
  <c r="AA34" i="3" s="1"/>
  <c r="AB34" i="3" s="1"/>
  <c r="Y34" i="3"/>
  <c r="K36" i="3"/>
  <c r="E37" i="3"/>
  <c r="W20" i="3"/>
  <c r="I3" i="3"/>
  <c r="Y3" i="3"/>
  <c r="K5" i="3"/>
  <c r="I7" i="3"/>
  <c r="Y7" i="3"/>
  <c r="Z9" i="3"/>
  <c r="AA9" i="3" s="1"/>
  <c r="AB9" i="3" s="1"/>
  <c r="I11" i="3"/>
  <c r="I14" i="3"/>
  <c r="Y14" i="3"/>
  <c r="I20" i="3"/>
  <c r="Y20" i="3"/>
  <c r="G22" i="3"/>
  <c r="Z22" i="3" s="1"/>
  <c r="AA22" i="3" s="1"/>
  <c r="AB22" i="3" s="1"/>
  <c r="I24" i="3"/>
  <c r="Z24" i="3" s="1"/>
  <c r="AA24" i="3" s="1"/>
  <c r="AB24" i="3" s="1"/>
  <c r="Y24" i="3"/>
  <c r="I26" i="3"/>
  <c r="I27" i="3"/>
  <c r="K28" i="3"/>
  <c r="Z28" i="3"/>
  <c r="AA28" i="3" s="1"/>
  <c r="AB28" i="3" s="1"/>
  <c r="Z32" i="3"/>
  <c r="AA32" i="3" s="1"/>
  <c r="AB32" i="3" s="1"/>
  <c r="Y36" i="3"/>
  <c r="W14" i="3"/>
  <c r="K7" i="3"/>
  <c r="K11" i="3"/>
  <c r="O37" i="3"/>
  <c r="K20" i="3"/>
  <c r="O24" i="3"/>
  <c r="K27" i="3"/>
  <c r="A27" i="10" l="1"/>
  <c r="A28" i="10" s="1"/>
  <c r="A29" i="10" s="1"/>
  <c r="A30" i="10" s="1"/>
  <c r="A31" i="10" s="1"/>
  <c r="Y37" i="3"/>
  <c r="I37" i="3"/>
  <c r="K37" i="3"/>
  <c r="Z5" i="3"/>
  <c r="AA5" i="3" s="1"/>
  <c r="AB5" i="3" s="1"/>
  <c r="Q37" i="3"/>
  <c r="G37" i="3"/>
  <c r="W37" i="3"/>
  <c r="Z3" i="3"/>
  <c r="AA3" i="3" l="1"/>
  <c r="Z37" i="3"/>
  <c r="A32" i="10" l="1"/>
  <c r="A33" i="10" s="1"/>
  <c r="A34" i="10" s="1"/>
  <c r="A35" i="10" s="1"/>
  <c r="A36" i="10" s="1"/>
  <c r="AA37" i="3"/>
  <c r="AB3" i="3"/>
  <c r="AB37" i="3" s="1"/>
  <c r="A37" i="10" l="1"/>
  <c r="A38" i="10" s="1"/>
  <c r="A39" i="10" s="1"/>
  <c r="A40" i="10" l="1"/>
  <c r="A41" i="10" s="1"/>
  <c r="A43" i="10" l="1"/>
  <c r="A45" i="10" s="1"/>
  <c r="A46" i="10" s="1"/>
  <c r="A47" i="10" s="1"/>
  <c r="A49" i="10" s="1"/>
  <c r="A50" i="10" s="1"/>
  <c r="A51" i="10" s="1"/>
  <c r="A52" i="10" s="1"/>
  <c r="A53" i="10" s="1"/>
  <c r="A55" i="10" s="1"/>
  <c r="G26" i="5"/>
</calcChain>
</file>

<file path=xl/sharedStrings.xml><?xml version="1.0" encoding="utf-8"?>
<sst xmlns="http://schemas.openxmlformats.org/spreadsheetml/2006/main" count="1203" uniqueCount="509">
  <si>
    <t>УТВЕРЖДАЮ</t>
  </si>
  <si>
    <t>Министр</t>
  </si>
  <si>
    <t xml:space="preserve">             (наименование должности лица, согласующего бюджетную смету)</t>
  </si>
  <si>
    <t>(наименование должности лица, утверждающего бюджетную смету; наименование</t>
  </si>
  <si>
    <t>МЧС Дагестана</t>
  </si>
  <si>
    <t>главного распорядителя (распорядителя) бюджетных средств; учреждения)</t>
  </si>
  <si>
    <t>Н.М. Казимагамедов</t>
  </si>
  <si>
    <t>(подпись)</t>
  </si>
  <si>
    <t>(расшифровка подписи)</t>
  </si>
  <si>
    <t>Получатель бюджетных средств</t>
  </si>
  <si>
    <t>Государственное казенное учреждение Республики Дагестан "Центр обеспечения деятельности по гражданской обороне, защите населения и территории Республики Дагестан от чрезвычайных ситуаций"</t>
  </si>
  <si>
    <t>Распорядитель бюджетных средств</t>
  </si>
  <si>
    <t xml:space="preserve">Министерство финансов  Республики Дагестан </t>
  </si>
  <si>
    <t>Главный распорядитель бюджетных средств</t>
  </si>
  <si>
    <t xml:space="preserve">Министерство по делам гражданской обороны, чрезвычайным ситуациям и ликвидации последствий стихийных бедствий  Республики Дагестан </t>
  </si>
  <si>
    <t>Наименование бюджета</t>
  </si>
  <si>
    <t>Наименование показателя</t>
  </si>
  <si>
    <t>Код по бюджетной классификации Российской Федерации</t>
  </si>
  <si>
    <t>раздела</t>
  </si>
  <si>
    <t>подраздела</t>
  </si>
  <si>
    <t>целевой статьи</t>
  </si>
  <si>
    <t>вида расходов</t>
  </si>
  <si>
    <t>КОСГУ</t>
  </si>
  <si>
    <t>0750200590</t>
  </si>
  <si>
    <t>Услуги связи</t>
  </si>
  <si>
    <t>242</t>
  </si>
  <si>
    <t>Прочие работы, услуги</t>
  </si>
  <si>
    <t>Ремонт ППУ Правительство РД</t>
  </si>
  <si>
    <t>243</t>
  </si>
  <si>
    <t>катер с мотором + прицеп+ лодка весельная стеклопластиковая (5 комп)</t>
  </si>
  <si>
    <t>Увеличение стоимости материальных запасов</t>
  </si>
  <si>
    <t>0750300590</t>
  </si>
  <si>
    <t>Руководитель учреждения</t>
  </si>
  <si>
    <t>(уполномоченное лицо)</t>
  </si>
  <si>
    <t>(должность)</t>
  </si>
  <si>
    <t>Исполнитель</t>
  </si>
  <si>
    <t>Ф.У. Алиева</t>
  </si>
  <si>
    <t>СОГЛАСОВАНО</t>
  </si>
  <si>
    <t>(подпись)                  (расшифровка подписи)</t>
  </si>
  <si>
    <t>Республиканский бюджет</t>
  </si>
  <si>
    <t>Приложение № 1 к порядку составления, утверждения и ведения бюджетных смет МЧС Дагестан</t>
  </si>
  <si>
    <t>"______"   ______________ 20_____г.</t>
  </si>
  <si>
    <t>Код строки</t>
  </si>
  <si>
    <t>Код аналитического показателя</t>
  </si>
  <si>
    <r>
      <rPr>
        <sz val="12"/>
        <rFont val="Times New Roman"/>
        <family val="1"/>
        <charset val="204"/>
      </rPr>
      <t>Заработная плата</t>
    </r>
  </si>
  <si>
    <r>
      <rPr>
        <sz val="12"/>
        <rFont val="Times New Roman"/>
        <family val="1"/>
        <charset val="204"/>
      </rPr>
      <t>180</t>
    </r>
  </si>
  <si>
    <r>
      <rPr>
        <sz val="12"/>
        <rFont val="Times New Roman"/>
        <family val="1"/>
        <charset val="204"/>
      </rPr>
      <t>03</t>
    </r>
  </si>
  <si>
    <r>
      <rPr>
        <sz val="12"/>
        <rFont val="Times New Roman"/>
        <family val="1"/>
        <charset val="204"/>
      </rPr>
      <t>09</t>
    </r>
  </si>
  <si>
    <r>
      <rPr>
        <sz val="12"/>
        <rFont val="Times New Roman"/>
        <family val="1"/>
        <charset val="204"/>
      </rPr>
      <t>Прочие выплаты (суточные, проживание, транспортные услуги)</t>
    </r>
  </si>
  <si>
    <r>
      <rPr>
        <sz val="12"/>
        <rFont val="Times New Roman"/>
        <family val="1"/>
        <charset val="204"/>
      </rPr>
      <t>112</t>
    </r>
  </si>
  <si>
    <r>
      <rPr>
        <sz val="12"/>
        <rFont val="Times New Roman"/>
        <family val="1"/>
        <charset val="204"/>
      </rPr>
      <t>212</t>
    </r>
  </si>
  <si>
    <r>
      <rPr>
        <sz val="12"/>
        <rFont val="Times New Roman"/>
        <family val="1"/>
        <charset val="204"/>
      </rPr>
      <t>Прочие выплаты (компенсация за питание)</t>
    </r>
  </si>
  <si>
    <r>
      <rPr>
        <sz val="12"/>
        <rFont val="Times New Roman"/>
        <family val="1"/>
        <charset val="204"/>
      </rPr>
      <t>Начисление на выплаты по оплате труда</t>
    </r>
  </si>
  <si>
    <r>
      <rPr>
        <sz val="12"/>
        <rFont val="Times New Roman"/>
        <family val="1"/>
        <charset val="204"/>
      </rPr>
      <t>119</t>
    </r>
  </si>
  <si>
    <r>
      <rPr>
        <sz val="12"/>
        <rFont val="Times New Roman"/>
        <family val="1"/>
        <charset val="204"/>
      </rPr>
      <t>213</t>
    </r>
  </si>
  <si>
    <r>
      <rPr>
        <sz val="12"/>
        <rFont val="Times New Roman"/>
        <family val="1"/>
        <charset val="204"/>
      </rPr>
      <t>221</t>
    </r>
  </si>
  <si>
    <r>
      <rPr>
        <sz val="12"/>
        <rFont val="Times New Roman"/>
        <family val="1"/>
        <charset val="204"/>
      </rPr>
      <t>226</t>
    </r>
  </si>
  <si>
    <r>
      <rPr>
        <sz val="12"/>
        <rFont val="Times New Roman"/>
        <family val="1"/>
        <charset val="204"/>
      </rPr>
      <t>310</t>
    </r>
  </si>
  <si>
    <r>
      <rPr>
        <sz val="12"/>
        <rFont val="Times New Roman"/>
        <family val="1"/>
        <charset val="204"/>
      </rPr>
      <t>340</t>
    </r>
  </si>
  <si>
    <r>
      <rPr>
        <sz val="12"/>
        <rFont val="Times New Roman"/>
        <family val="1"/>
        <charset val="204"/>
      </rPr>
      <t>200 000,0</t>
    </r>
  </si>
  <si>
    <r>
      <rPr>
        <sz val="12"/>
        <rFont val="Times New Roman"/>
        <family val="1"/>
        <charset val="204"/>
      </rPr>
      <t>Коммунальные услуги</t>
    </r>
  </si>
  <si>
    <r>
      <rPr>
        <sz val="12"/>
        <rFont val="Times New Roman"/>
        <family val="1"/>
        <charset val="204"/>
      </rPr>
      <t>244</t>
    </r>
  </si>
  <si>
    <r>
      <rPr>
        <sz val="12"/>
        <rFont val="Times New Roman"/>
        <family val="1"/>
        <charset val="204"/>
      </rPr>
      <t>223</t>
    </r>
  </si>
  <si>
    <r>
      <rPr>
        <sz val="12"/>
        <rFont val="Times New Roman"/>
        <family val="1"/>
        <charset val="204"/>
      </rPr>
      <t>224</t>
    </r>
  </si>
  <si>
    <r>
      <rPr>
        <sz val="12"/>
        <rFont val="Times New Roman"/>
        <family val="1"/>
        <charset val="204"/>
      </rPr>
      <t>225</t>
    </r>
  </si>
  <si>
    <r>
      <rPr>
        <sz val="12"/>
        <rFont val="Times New Roman"/>
        <family val="1"/>
        <charset val="204"/>
      </rPr>
      <t>НИВА (2 шт)</t>
    </r>
  </si>
  <si>
    <r>
      <rPr>
        <sz val="12"/>
        <rFont val="Times New Roman"/>
        <family val="1"/>
        <charset val="204"/>
      </rPr>
      <t>Уаз (3 шт. буханка)</t>
    </r>
  </si>
  <si>
    <r>
      <rPr>
        <sz val="12"/>
        <rFont val="Times New Roman"/>
        <family val="1"/>
        <charset val="204"/>
      </rPr>
      <t>Газель (2шт)</t>
    </r>
  </si>
  <si>
    <r>
      <rPr>
        <sz val="12"/>
        <rFont val="Times New Roman"/>
        <family val="1"/>
        <charset val="204"/>
      </rPr>
      <t>Прочие расходы (налог на имущество)</t>
    </r>
  </si>
  <si>
    <r>
      <rPr>
        <sz val="12"/>
        <rFont val="Times New Roman"/>
        <family val="1"/>
        <charset val="204"/>
      </rPr>
      <t>851</t>
    </r>
  </si>
  <si>
    <r>
      <rPr>
        <sz val="12"/>
        <rFont val="Times New Roman"/>
        <family val="1"/>
        <charset val="204"/>
      </rPr>
      <t>290</t>
    </r>
  </si>
  <si>
    <r>
      <rPr>
        <sz val="12"/>
        <rFont val="Times New Roman"/>
        <family val="1"/>
        <charset val="204"/>
      </rPr>
      <t>Прочие расходы (гос пошлины)</t>
    </r>
  </si>
  <si>
    <r>
      <rPr>
        <sz val="12"/>
        <rFont val="Times New Roman"/>
        <family val="1"/>
        <charset val="204"/>
      </rPr>
      <t>852</t>
    </r>
  </si>
  <si>
    <r>
      <rPr>
        <sz val="12"/>
        <rFont val="Times New Roman"/>
        <family val="1"/>
        <charset val="204"/>
      </rPr>
      <t>Прочие расходы (пеня штрафы)</t>
    </r>
  </si>
  <si>
    <r>
      <rPr>
        <sz val="12"/>
        <rFont val="Times New Roman"/>
        <family val="1"/>
        <charset val="204"/>
      </rPr>
      <t>853</t>
    </r>
  </si>
  <si>
    <t>Итого:</t>
  </si>
  <si>
    <r>
      <rPr>
        <b/>
        <sz val="12"/>
        <rFont val="Times New Roman"/>
        <family val="1"/>
        <charset val="204"/>
      </rPr>
      <t>208 000 000,0</t>
    </r>
  </si>
  <si>
    <t>Б.А. Хизгилов</t>
  </si>
  <si>
    <t xml:space="preserve">(расшифровка подписи) </t>
  </si>
  <si>
    <t>Всего по 0309:</t>
  </si>
  <si>
    <t>Должностной оклад</t>
  </si>
  <si>
    <t>Повышающий коэф-т</t>
  </si>
  <si>
    <t>ДО с ПК</t>
  </si>
  <si>
    <t>%</t>
  </si>
  <si>
    <t>надбавка за выслугу лет рабочим и служащим</t>
  </si>
  <si>
    <t>Надбавка за интенсивность и высокие результаты работы</t>
  </si>
  <si>
    <t>Надбавка за работу с секретными материалами</t>
  </si>
  <si>
    <t>Надбавка за почетное звание "заслуженный"</t>
  </si>
  <si>
    <t>Надбавка стимулирующего характера</t>
  </si>
  <si>
    <t>Ночные и праздничные</t>
  </si>
  <si>
    <t>Надбавка за ученую степень кандидата наук</t>
  </si>
  <si>
    <t>Доплата за дополнительный объем работ (суммой)</t>
  </si>
  <si>
    <t>Доведение до МРОТ</t>
  </si>
  <si>
    <t>премия на 8 марта и день спасателя</t>
  </si>
  <si>
    <t>Материальная помощь к отпуску</t>
  </si>
  <si>
    <t>Квартальная премия</t>
  </si>
  <si>
    <t>Всего начислено</t>
  </si>
  <si>
    <t>Наименование подразделений и должностей</t>
  </si>
  <si>
    <t>Кол-во должностей</t>
  </si>
  <si>
    <t>Ведущий специалист</t>
  </si>
  <si>
    <t>Ведущий специалист гражданской обороны</t>
  </si>
  <si>
    <t>Ведущий специалист гражданской обороны - начальник загородного запасного пункта управления</t>
  </si>
  <si>
    <t>Ведущий специалист гражданской обороны (по защите государственной тайны)</t>
  </si>
  <si>
    <t>Ведущий специалист по охране труда и технике безопасности</t>
  </si>
  <si>
    <t>Ведущий юрисконсульт</t>
  </si>
  <si>
    <t>Врач - специалист</t>
  </si>
  <si>
    <t>Главный бухгалтер - начальник отдела</t>
  </si>
  <si>
    <t>Главный специалист</t>
  </si>
  <si>
    <t>Заместитель начальника отдела</t>
  </si>
  <si>
    <t>Заместитель начальника подразделения</t>
  </si>
  <si>
    <t>Заместитель начальника службы</t>
  </si>
  <si>
    <t>Заместитель начальника управления — начальник отдела</t>
  </si>
  <si>
    <t>Заместитель начальника управления по чрезвычайным ситуациям - начальник отдела</t>
  </si>
  <si>
    <t>Заместитель руководителя учреждения</t>
  </si>
  <si>
    <t>Заместитель руководителя учреждения — начальник управления организации деятельности поисково-спасательных формирований</t>
  </si>
  <si>
    <t xml:space="preserve">Заместитель руководителя учреждения — начальник управления по чрезвычайным ситуациям </t>
  </si>
  <si>
    <t>Начальник отдела</t>
  </si>
  <si>
    <t>Начальник отделения</t>
  </si>
  <si>
    <t>Начальник отряда</t>
  </si>
  <si>
    <t>Начальник подразделения</t>
  </si>
  <si>
    <t>Начальник службы</t>
  </si>
  <si>
    <t>Начальник управления</t>
  </si>
  <si>
    <t>Начальник формирования</t>
  </si>
  <si>
    <t>Оперативный дежурный</t>
  </si>
  <si>
    <t>Спасатель</t>
  </si>
  <si>
    <t>Спасатель 1 класса</t>
  </si>
  <si>
    <t>Спасатель 2 класса</t>
  </si>
  <si>
    <t>Спасатель 3 класса</t>
  </si>
  <si>
    <t>Специалист гражданской обороны 1 категории</t>
  </si>
  <si>
    <t>Старший инспектор по основной деятельности</t>
  </si>
  <si>
    <t>Сторож</t>
  </si>
  <si>
    <t>Уборщик</t>
  </si>
  <si>
    <t>№ п/п</t>
  </si>
  <si>
    <t xml:space="preserve">  Наименование продуктов</t>
  </si>
  <si>
    <t>Норма     на 1 чел/день  (грамм)</t>
  </si>
  <si>
    <t>Вес  1-й   упаковки (грамм)</t>
  </si>
  <si>
    <t>Цена 1 упаковки (руб.)</t>
  </si>
  <si>
    <t>Стоимость  нормы (руб.)</t>
  </si>
  <si>
    <t>№  п/п</t>
  </si>
  <si>
    <t>Место назначения</t>
  </si>
  <si>
    <t>Количество командировок за год</t>
  </si>
  <si>
    <t>Кол-во суток</t>
  </si>
  <si>
    <t>Кол-во работников, направляемых в командировки за год</t>
  </si>
  <si>
    <t>Стоимость сутки     (рублей)</t>
  </si>
  <si>
    <t>Сумма       (гр.3 х гр.4х гр. 5 х  гр.6)    (рублей)</t>
  </si>
  <si>
    <t>Количество командировок</t>
  </si>
  <si>
    <t>Количество работников, направляемых в командировки за год</t>
  </si>
  <si>
    <t xml:space="preserve">Средняя стоимость проезда в одну сторону (рублей)        </t>
  </si>
  <si>
    <t>Сумма  (гр. 4 х гр. 5 х  гр.6) х 2   (рублей)</t>
  </si>
  <si>
    <t>Количество дней проживания</t>
  </si>
  <si>
    <t>Количество работников, направляемых                       в      командировки за год</t>
  </si>
  <si>
    <t xml:space="preserve">Средняя стоимость проживания за сутки (рублей)        </t>
  </si>
  <si>
    <t>Дрожжи</t>
  </si>
  <si>
    <t xml:space="preserve">г. Ставрополь </t>
  </si>
  <si>
    <t>г. Ставрополь</t>
  </si>
  <si>
    <t xml:space="preserve"> г. Ставрополь</t>
  </si>
  <si>
    <t>Капуста</t>
  </si>
  <si>
    <t>г. Москва</t>
  </si>
  <si>
    <t>Картофель</t>
  </si>
  <si>
    <t xml:space="preserve">Города и районы Дагестана </t>
  </si>
  <si>
    <t>города и районы Дагестана</t>
  </si>
  <si>
    <t>Колбаса сырокопченная</t>
  </si>
  <si>
    <r>
      <t> </t>
    </r>
    <r>
      <rPr>
        <b/>
        <sz val="12"/>
        <color rgb="FF000000"/>
        <rFont val="Times New Roman"/>
        <family val="1"/>
        <charset val="204"/>
      </rPr>
      <t>Итого:</t>
    </r>
  </si>
  <si>
    <t>Кофе натуральный</t>
  </si>
  <si>
    <t>Крупа гречневая</t>
  </si>
  <si>
    <t>Лук</t>
  </si>
  <si>
    <t>Макаронные изделия</t>
  </si>
  <si>
    <t>Маргарин</t>
  </si>
  <si>
    <t>Масло коровье</t>
  </si>
  <si>
    <t>Масло растительное</t>
  </si>
  <si>
    <t>Минеральная вода</t>
  </si>
  <si>
    <t>Молоко</t>
  </si>
  <si>
    <t>Морковь</t>
  </si>
  <si>
    <t>Мука пшеничная 1 сорт</t>
  </si>
  <si>
    <t>Мясо</t>
  </si>
  <si>
    <t>Мясо птицы</t>
  </si>
  <si>
    <t>Овсяные хлопья "Геркулес"</t>
  </si>
  <si>
    <t>Перец черный</t>
  </si>
  <si>
    <t>Печенье</t>
  </si>
  <si>
    <t>Повидло</t>
  </si>
  <si>
    <t>Рисовая крупа</t>
  </si>
  <si>
    <t>Рыба</t>
  </si>
  <si>
    <t>Сахар</t>
  </si>
  <si>
    <t>Свекла</t>
  </si>
  <si>
    <t>Сметана</t>
  </si>
  <si>
    <t>Соль</t>
  </si>
  <si>
    <t>Сыр</t>
  </si>
  <si>
    <t>Творог</t>
  </si>
  <si>
    <t>Уксус</t>
  </si>
  <si>
    <t>Фасоль (прочая крупа и бобовые)</t>
  </si>
  <si>
    <t>Фрукты свежие</t>
  </si>
  <si>
    <t>Фрукты сушеные</t>
  </si>
  <si>
    <t>Хлеб "Бородинский" (0,5кг)</t>
  </si>
  <si>
    <t>Хлеб из пшеничной муки 1сорта (0,75кг)</t>
  </si>
  <si>
    <t>Чай</t>
  </si>
  <si>
    <t>Яйцо (шт. в неделю)</t>
  </si>
  <si>
    <r>
      <t>Расчет расходов на услуги связи</t>
    </r>
    <r>
      <rPr>
        <b/>
        <sz val="14"/>
        <color rgb="FF000000"/>
        <rFont val="Calibri"/>
        <family val="2"/>
        <charset val="204"/>
      </rPr>
      <t xml:space="preserve"> </t>
    </r>
  </si>
  <si>
    <t>Наименование расходов</t>
  </si>
  <si>
    <t>Единица измерения</t>
  </si>
  <si>
    <t>Количество</t>
  </si>
  <si>
    <t>Количество платежей в год</t>
  </si>
  <si>
    <t>Стоимость за единицу измерения (руб.)</t>
  </si>
  <si>
    <t xml:space="preserve">Сумма (гр. 4 х гр. 5 х гр. 6)      руб.     </t>
  </si>
  <si>
    <t>Абонентская плата ОАО "Ростелеком"</t>
  </si>
  <si>
    <t>Абонентский номер</t>
  </si>
  <si>
    <t>Предоставление  в  пользование, в месяц Прямого провода в зоне действия одной АТС свыше 500 м ГТС</t>
  </si>
  <si>
    <t>Обслуживание одного устройства охранной сигнализации в месяц ГТС</t>
  </si>
  <si>
    <t>Предоставление местного телефонного соединения абоненту (польз) сети фиксированной тел. связи для передачи голосовой информации. Факсимильных сообщений и данных</t>
  </si>
  <si>
    <t>Дагестан мобильные</t>
  </si>
  <si>
    <t>Предоставление в пост. польз. прям. проводов</t>
  </si>
  <si>
    <t>Междугородняя связь</t>
  </si>
  <si>
    <t>Мобильная связь МТС</t>
  </si>
  <si>
    <t>ОАО "Электросвязь"</t>
  </si>
  <si>
    <t>Международная связь</t>
  </si>
  <si>
    <t>Местные моб. Beeline</t>
  </si>
  <si>
    <t xml:space="preserve">Местные моб. Megafon </t>
  </si>
  <si>
    <t>Местные моб. МТС</t>
  </si>
  <si>
    <t>Интернет</t>
  </si>
  <si>
    <t>Спутниковая связь</t>
  </si>
  <si>
    <t>242/225</t>
  </si>
  <si>
    <t>Ремонт компьюторной и оргтехники</t>
  </si>
  <si>
    <t xml:space="preserve">Заправка картриджей </t>
  </si>
  <si>
    <t>Ремонт средств  связи</t>
  </si>
  <si>
    <t>242/226</t>
  </si>
  <si>
    <t>Консультант Плюс</t>
  </si>
  <si>
    <t>ООО "Дивизион"</t>
  </si>
  <si>
    <t>Антивирусная защита</t>
  </si>
  <si>
    <t>242/310</t>
  </si>
  <si>
    <t>Стационарные радиостанции</t>
  </si>
  <si>
    <t>Автомобильные радиостанции</t>
  </si>
  <si>
    <t>Носимые радиостанции</t>
  </si>
  <si>
    <t>Телефонные аппараты</t>
  </si>
  <si>
    <t>242/340</t>
  </si>
  <si>
    <t>Приобретение картриджи</t>
  </si>
  <si>
    <t xml:space="preserve">Кабель 4 парный </t>
  </si>
  <si>
    <t>DVD +RW диск</t>
  </si>
  <si>
    <t>3 короб</t>
  </si>
  <si>
    <t xml:space="preserve">Флэш на 32 Гб </t>
  </si>
  <si>
    <t>Лицензионный офисный пакет (Microsoft Office )</t>
  </si>
  <si>
    <t>Лицензионная операционная система (Win 8.1)</t>
  </si>
  <si>
    <t>ИТОГО:</t>
  </si>
  <si>
    <t>Наименование товаров  и оборудования</t>
  </si>
  <si>
    <t>Ед. изм.</t>
  </si>
  <si>
    <t>Цена за единицу (руб.)</t>
  </si>
  <si>
    <t>Стоимость (тыс. руб.)</t>
  </si>
  <si>
    <t>Компьютеры  в комплекте</t>
  </si>
  <si>
    <t>шт.</t>
  </si>
  <si>
    <t>Ноутбуки</t>
  </si>
  <si>
    <t xml:space="preserve">МФУ </t>
  </si>
  <si>
    <t>шт</t>
  </si>
  <si>
    <t>UPS</t>
  </si>
  <si>
    <t>Хаб 'Switch 16-портовый Asus GX1016D (10/100Mbit/s)</t>
  </si>
  <si>
    <t>Цветной принтер</t>
  </si>
  <si>
    <t>Сервер для 1С</t>
  </si>
  <si>
    <t>Количество потребления в год</t>
  </si>
  <si>
    <t>Стоимость за единицу измерения (тариф) (руб.)</t>
  </si>
  <si>
    <t>Сумма (гр. 4 х гр. 5)  /1000       (тыс. руб.)</t>
  </si>
  <si>
    <t>Потребление газа</t>
  </si>
  <si>
    <t>куб. м</t>
  </si>
  <si>
    <t>Потребление электроэнергии</t>
  </si>
  <si>
    <t>кВт/ч</t>
  </si>
  <si>
    <t>Потребление теплоэнергии</t>
  </si>
  <si>
    <t>Гкал</t>
  </si>
  <si>
    <t>Потребление воды</t>
  </si>
  <si>
    <t>Расчет расходов на аренду помещений</t>
  </si>
  <si>
    <t>Наименование</t>
  </si>
  <si>
    <t>Количество (месяц)</t>
  </si>
  <si>
    <t>Цена аренды (руб.)</t>
  </si>
  <si>
    <t>Аренда помещения для размещения технологического оборудования</t>
  </si>
  <si>
    <t>Аренда помещения для оборудования  РТПЦ</t>
  </si>
  <si>
    <t>Цена (руб.)</t>
  </si>
  <si>
    <t>ремонт автотранспорта</t>
  </si>
  <si>
    <t>техобслуживание</t>
  </si>
  <si>
    <t xml:space="preserve">Расчет расходов на приобретение  оборудования и снаряжений  для ПСС                                          </t>
  </si>
  <si>
    <t>Наименование товара</t>
  </si>
  <si>
    <t xml:space="preserve">Количество </t>
  </si>
  <si>
    <t>Цена единицы   тыс. руб.</t>
  </si>
  <si>
    <t>Стоимость тыс. руб.</t>
  </si>
  <si>
    <t>Автотранспорт</t>
  </si>
  <si>
    <t>Водовоз КАМАЗ</t>
  </si>
  <si>
    <t>компл.</t>
  </si>
  <si>
    <t>Электроинструменты</t>
  </si>
  <si>
    <t>Электросварочный аппарат</t>
  </si>
  <si>
    <t>Бензопила с набором цепей</t>
  </si>
  <si>
    <t>АСИ+пневмодонкраты</t>
  </si>
  <si>
    <t>Дополнительное оборудование и инструмент</t>
  </si>
  <si>
    <t>Набор слесарного инструмента</t>
  </si>
  <si>
    <t>Горное, альпинистское снаряжение</t>
  </si>
  <si>
    <t xml:space="preserve">Лопата лавинная </t>
  </si>
  <si>
    <t>Пила для снега</t>
  </si>
  <si>
    <t>Зонд лавинный</t>
  </si>
  <si>
    <t>Молоток скальный</t>
  </si>
  <si>
    <t>Жумары (левые и правые)</t>
  </si>
  <si>
    <t>Стопор-дисантер</t>
  </si>
  <si>
    <t>Спусковое устройство восьмерка</t>
  </si>
  <si>
    <t>Спусковое устройство дюраль</t>
  </si>
  <si>
    <t>Зажимы для подъема по веревке (комплект из 2-х штук), жумары</t>
  </si>
  <si>
    <t xml:space="preserve">Обвязка альпинистская страховочная </t>
  </si>
  <si>
    <t>Кошки-платформа шарнирные</t>
  </si>
  <si>
    <t>пары</t>
  </si>
  <si>
    <t>Якорь ледовый (Айс-фифи)</t>
  </si>
  <si>
    <t>Трос стальной (D=6-16) мм</t>
  </si>
  <si>
    <t>м.</t>
  </si>
  <si>
    <t>Страховочное устройство типа "Шант"</t>
  </si>
  <si>
    <t>Веревка вспомогательная d=6-8 мм</t>
  </si>
  <si>
    <t>Веревка вспомогательная d=10-14 мм</t>
  </si>
  <si>
    <t xml:space="preserve">Карабин с муфтой </t>
  </si>
  <si>
    <t>Крюки скальный (горизонтальные, вертикальные, швеллерные), вспомогательные, шлямбурные</t>
  </si>
  <si>
    <t>Спасательная косынка Petzl Bermude</t>
  </si>
  <si>
    <t>Усы самостраховки ленточные Люкс 80*80 см</t>
  </si>
  <si>
    <t xml:space="preserve">Грудная обвязка Vento Модифицированная </t>
  </si>
  <si>
    <t>Баул Сплав "Dakar"80 л.</t>
  </si>
  <si>
    <t>Баул Сплав "Dakar" 120 л.</t>
  </si>
  <si>
    <t>Каски зашитные</t>
  </si>
  <si>
    <t>Специальные сигнальные средства</t>
  </si>
  <si>
    <t xml:space="preserve">Спасательное водолазное оборудование и снаряжение </t>
  </si>
  <si>
    <t>Переносной компрессор высокого давления воздуха</t>
  </si>
  <si>
    <t xml:space="preserve">Средства жизнеобеспечения </t>
  </si>
  <si>
    <t>Коврики теплоизолирующие типа "Каремат"</t>
  </si>
  <si>
    <t>Световые башни</t>
  </si>
  <si>
    <t>Мешок спальный синтепоновый</t>
  </si>
  <si>
    <t>Бинокль Levenhuk Bruno PLUS 20x80</t>
  </si>
  <si>
    <t>Палатка 4-6-ти местная</t>
  </si>
  <si>
    <t>Дрель</t>
  </si>
  <si>
    <t>болгарка</t>
  </si>
  <si>
    <t>водолазное снаряжение мокрого и полусухого типа</t>
  </si>
  <si>
    <t>водолазное снаряжение мокрого и сухого типа</t>
  </si>
  <si>
    <t>Мебель, шкаф для одежды</t>
  </si>
  <si>
    <t>Наименование приобретаемых товаров</t>
  </si>
  <si>
    <t>Лопаты штыковые</t>
  </si>
  <si>
    <t>Расчет расходов на приобретение канцелярских и хозяйственных товаров</t>
  </si>
  <si>
    <t>Стоимость (руб)</t>
  </si>
  <si>
    <t>Бумага  пишущая</t>
  </si>
  <si>
    <t>Обмундирование</t>
  </si>
  <si>
    <t>Средства десантирования с летательных аппаратов</t>
  </si>
  <si>
    <t>Бумага для заметок</t>
  </si>
  <si>
    <t>форма летняя</t>
  </si>
  <si>
    <t xml:space="preserve">Пояс авиационный спасательный </t>
  </si>
  <si>
    <t>Бумага снегурочка</t>
  </si>
  <si>
    <t>пачек</t>
  </si>
  <si>
    <t>форма зимняя</t>
  </si>
  <si>
    <t>Спусковое устройство роликовое (СУР)</t>
  </si>
  <si>
    <t>Дырокол</t>
  </si>
  <si>
    <t>комбинизоны</t>
  </si>
  <si>
    <t>Блок контроля высоты и времени</t>
  </si>
  <si>
    <t>Дырокол большой</t>
  </si>
  <si>
    <t>форма летняя (пляжная)</t>
  </si>
  <si>
    <t>Еженедельник</t>
  </si>
  <si>
    <t>футболки</t>
  </si>
  <si>
    <t>Ракеты сигнальные 3-х цв.</t>
  </si>
  <si>
    <t xml:space="preserve">Зажимы </t>
  </si>
  <si>
    <t>пач.</t>
  </si>
  <si>
    <t>Ракеты реактивные типа СХТ</t>
  </si>
  <si>
    <t>Календари</t>
  </si>
  <si>
    <t>шапки спортивные</t>
  </si>
  <si>
    <t>Фальшфеер (факел свеча)</t>
  </si>
  <si>
    <t>Калькуляторы</t>
  </si>
  <si>
    <t>перчатки</t>
  </si>
  <si>
    <t>Сигнальный дым</t>
  </si>
  <si>
    <t>Карандаши простые</t>
  </si>
  <si>
    <t xml:space="preserve">Вспомогательное снаряжение </t>
  </si>
  <si>
    <t>Клей канцелярский</t>
  </si>
  <si>
    <t>Комплект выживания спасателя</t>
  </si>
  <si>
    <t>Клей карандаш</t>
  </si>
  <si>
    <t xml:space="preserve">                          Расчет расходов на материалы</t>
  </si>
  <si>
    <t>Бочка полиэтиленовая 50л.</t>
  </si>
  <si>
    <t>Клей ПВА</t>
  </si>
  <si>
    <t>Мешки капроновые транспортировочные</t>
  </si>
  <si>
    <t>Книга учета</t>
  </si>
  <si>
    <t>Спички ветровые в непромокаемой упаковке</t>
  </si>
  <si>
    <t>Кнопки</t>
  </si>
  <si>
    <t>ГСМ</t>
  </si>
  <si>
    <t>л</t>
  </si>
  <si>
    <t>Свечи стеариновые, светильники масляные</t>
  </si>
  <si>
    <t>Линейка</t>
  </si>
  <si>
    <t>Средства специальной защиты</t>
  </si>
  <si>
    <t>Ножницы</t>
  </si>
  <si>
    <t>запчасти+шины</t>
  </si>
  <si>
    <t>Комплект для защиты от радиационной пыли</t>
  </si>
  <si>
    <t>Папка архивная</t>
  </si>
  <si>
    <t>Костюм теплозащитный</t>
  </si>
  <si>
    <t>Папка на 2-х кольцах</t>
  </si>
  <si>
    <t>Костюм легкий защитный типа "Л-1", "ОЗК"</t>
  </si>
  <si>
    <t>Папка на подпись</t>
  </si>
  <si>
    <t>Костюм защитный типа "КИХ-5", "VAYTEX", "TPELLCHEM", "VTN", "TPELEBORG"</t>
  </si>
  <si>
    <t>Папка поздравительная</t>
  </si>
  <si>
    <t>Костюм непромокаемый</t>
  </si>
  <si>
    <t>Папка с зажимом</t>
  </si>
  <si>
    <t>Боевая одежда пожарного (куртка и брюки со съемными теплоизолирующими подстёжками)</t>
  </si>
  <si>
    <t>Папка с кнопкой</t>
  </si>
  <si>
    <t>Рукавицы рабочие</t>
  </si>
  <si>
    <t>пар.</t>
  </si>
  <si>
    <t>Папка уголок</t>
  </si>
  <si>
    <t>Перчатки резиновые рентгенозащитные</t>
  </si>
  <si>
    <t>Папки файлы 10л. 20л. 30л.</t>
  </si>
  <si>
    <t>Комплект одежды для переноски трупов (одноразовый)</t>
  </si>
  <si>
    <t>Подставка под календарь</t>
  </si>
  <si>
    <t>Транспортировочные средства</t>
  </si>
  <si>
    <t>Резинки-стерки</t>
  </si>
  <si>
    <t>Мешок для транспорт.снаряжения</t>
  </si>
  <si>
    <t>Ручки гелевые (разные)</t>
  </si>
  <si>
    <t>Рюкзак шумовой штурмовой объем 40л.</t>
  </si>
  <si>
    <t>Ручки шариковые</t>
  </si>
  <si>
    <t>Рюкзак экспедиционный объем 70-140л.</t>
  </si>
  <si>
    <t>Скобы для степлера</t>
  </si>
  <si>
    <t>Сумка полевая</t>
  </si>
  <si>
    <t>Скоросшиватель</t>
  </si>
  <si>
    <t>Сумка поясная</t>
  </si>
  <si>
    <t>Скотч</t>
  </si>
  <si>
    <t>Индивидуальное снаряжение спасателя</t>
  </si>
  <si>
    <t>Скрепки</t>
  </si>
  <si>
    <t>Костюм противоэнцефалитный</t>
  </si>
  <si>
    <t>Степлер</t>
  </si>
  <si>
    <t>Маска защитная</t>
  </si>
  <si>
    <t>Степлер большой</t>
  </si>
  <si>
    <t>Маска защитная с ударопрочным щитом</t>
  </si>
  <si>
    <t>Точилка для карандашей</t>
  </si>
  <si>
    <t>Лопата пехотная, туристическая</t>
  </si>
  <si>
    <t>Файлы</t>
  </si>
  <si>
    <t>Перчатки рабочие</t>
  </si>
  <si>
    <t>Фотобумага</t>
  </si>
  <si>
    <t xml:space="preserve">Рукавицы рабочие </t>
  </si>
  <si>
    <t>Штрих</t>
  </si>
  <si>
    <t xml:space="preserve">Шлем ветрозащитный </t>
  </si>
  <si>
    <t>Штрих ленточный</t>
  </si>
  <si>
    <t>Маска ветрозащитная</t>
  </si>
  <si>
    <t>Плащ-накидка (нейлон)</t>
  </si>
  <si>
    <t xml:space="preserve">                                        Хозяйственные товары</t>
  </si>
  <si>
    <t>Ботинки горные</t>
  </si>
  <si>
    <t>Белизна</t>
  </si>
  <si>
    <t>Кроссовки специальные, повышенной прочности</t>
  </si>
  <si>
    <t>Бумага туалетная</t>
  </si>
  <si>
    <t>Накидка спасательная из алюминизиров.полиэтилена</t>
  </si>
  <si>
    <t>Ведро оцинк.</t>
  </si>
  <si>
    <t>Веники</t>
  </si>
  <si>
    <t>Замки врезные</t>
  </si>
  <si>
    <t>Изолента</t>
  </si>
  <si>
    <t>Изолента (матерчатый)</t>
  </si>
  <si>
    <t>Комет</t>
  </si>
  <si>
    <t>Корзина для мусора</t>
  </si>
  <si>
    <t>Лампы дневног света С-20</t>
  </si>
  <si>
    <t>Лампы дневног света С-40</t>
  </si>
  <si>
    <t>Метелки</t>
  </si>
  <si>
    <t>Мистер мускул</t>
  </si>
  <si>
    <t>Молоток</t>
  </si>
  <si>
    <t>Мыло туалетное</t>
  </si>
  <si>
    <t>Мыло хоз-ое</t>
  </si>
  <si>
    <t>Мыло жидкое</t>
  </si>
  <si>
    <t>кан.</t>
  </si>
  <si>
    <t>Отвертки (набор)</t>
  </si>
  <si>
    <t>Перчатки матерчатые</t>
  </si>
  <si>
    <t>Перчатки резиновые</t>
  </si>
  <si>
    <t>Подразетники</t>
  </si>
  <si>
    <t>Порошок стиральный</t>
  </si>
  <si>
    <t>Прож. Лам.</t>
  </si>
  <si>
    <t>Прож. Лам. Кобра 300вт.</t>
  </si>
  <si>
    <t>Пронто для мебели</t>
  </si>
  <si>
    <t>Пронто для пола</t>
  </si>
  <si>
    <t>Распределительные коробки</t>
  </si>
  <si>
    <t>Розетки (евро)</t>
  </si>
  <si>
    <t>Салфетки</t>
  </si>
  <si>
    <t>Светильники</t>
  </si>
  <si>
    <t>Секатор</t>
  </si>
  <si>
    <t>Совки д/уборки</t>
  </si>
  <si>
    <t>Топоры</t>
  </si>
  <si>
    <t>Тряпки для пола</t>
  </si>
  <si>
    <t>Тряпки для столов</t>
  </si>
  <si>
    <t>Удлинитель 10 м.</t>
  </si>
  <si>
    <t>Удлинитель 5 м.</t>
  </si>
  <si>
    <t>Швабра</t>
  </si>
  <si>
    <t>Эл. включатели (евро)</t>
  </si>
  <si>
    <t>Эл. лампочки</t>
  </si>
  <si>
    <t>Эл. лампочки евро</t>
  </si>
  <si>
    <t>Эл. провод 2-х жил. алюм.</t>
  </si>
  <si>
    <t>Эл.вилки евро</t>
  </si>
  <si>
    <t>Умывальник</t>
  </si>
  <si>
    <t>Предохранители</t>
  </si>
  <si>
    <t>Энергосберегающие лампы</t>
  </si>
  <si>
    <t>Всего:</t>
  </si>
  <si>
    <t>Цена единицы тыс. руб.</t>
  </si>
  <si>
    <t>рюкзаки 120 литров</t>
  </si>
  <si>
    <t>масла,тосол</t>
  </si>
  <si>
    <t>ВрИО руководителя</t>
  </si>
  <si>
    <t>Главный бухгалтер</t>
  </si>
  <si>
    <r>
      <rPr>
        <sz val="12"/>
        <rFont val="Times New Roman"/>
        <family val="1"/>
        <charset val="204"/>
      </rPr>
      <t>Прочие работы, услуги</t>
    </r>
  </si>
  <si>
    <r>
      <rPr>
        <sz val="12"/>
        <rFont val="Times New Roman"/>
        <family val="1"/>
        <charset val="204"/>
      </rPr>
      <t>Увеличение стоимости основных средств</t>
    </r>
  </si>
  <si>
    <t>Увеличение стоимости основных средств</t>
  </si>
  <si>
    <t>Работы, услуги по содержанию имущесва</t>
  </si>
  <si>
    <t xml:space="preserve"> рублях</t>
  </si>
  <si>
    <t>ПРОЕКТ БЮДЖЕТНОЙ СМЕТЫ НА 2019 год</t>
  </si>
  <si>
    <t>Сумма</t>
  </si>
  <si>
    <t>Арендная плата за пользование имуществом и обслуживание</t>
  </si>
  <si>
    <r>
      <rPr>
        <b/>
        <sz val="12"/>
        <rFont val="Times New Roman"/>
        <family val="1"/>
        <charset val="204"/>
      </rPr>
      <t>244</t>
    </r>
  </si>
  <si>
    <t>Расходы на выплаты персаналу в целях обеспечения выполнения функций государственным (муниципальными) органами, казенными учреждениями.</t>
  </si>
  <si>
    <t>Закупка товаров, работ и услуг для государственных (муниципальных) нужд</t>
  </si>
  <si>
    <t xml:space="preserve">   Иные закупка товаров, работ и услуг для государственных (муниципальных) нужд</t>
  </si>
  <si>
    <t>Прочая закупка товаров, работ и услуг для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</si>
  <si>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</si>
  <si>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Иные бюджетные ассигнования
Уплата налогов, сборов и иных платежей</t>
  </si>
  <si>
    <t>9880000590</t>
  </si>
  <si>
    <t>Республиканский резерв</t>
  </si>
  <si>
    <r>
      <t xml:space="preserve">Работы, услуги по содержанию имущесва </t>
    </r>
    <r>
      <rPr>
        <sz val="12"/>
        <rFont val="Times New Roman"/>
        <family val="1"/>
        <charset val="204"/>
      </rPr>
      <t>(ремонт ЗЗГТУ и оборудования связи)</t>
    </r>
  </si>
  <si>
    <t>Алиева Ф.У.</t>
  </si>
  <si>
    <t>Разовая МП</t>
  </si>
  <si>
    <t>РАСЧЕТ ПО ЗАРАБОТНОЙ ПЛАТЕ НА 2019 год ГКУ РД "ЦЕНТР ГО и ЧС"</t>
  </si>
  <si>
    <t>Итого за месяц</t>
  </si>
  <si>
    <t>Всего за год</t>
  </si>
  <si>
    <t>ПРОЕКТ БЮДЖЕТНОЙ СМЕТЫ НА 2021 год</t>
  </si>
  <si>
    <t>ПРОЕКТ БЮДЖЕТНОЙ СМЕТЫ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</si>
</sst>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0" fillId="0" borderId="0"/>
  </cellStyleXfs>
  <cellXfs count="326">
    <xf numFmtId="0" fontId="0" fillId="0" borderId="0" xfId="0"/>
    <xf numFmtId="0" fontId="3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/>
    <xf numFmtId="0" fontId="6" fillId="0" borderId="1" xfId="0" applyNumberFormat="1" applyFont="1" applyBorder="1" applyAlignment="1"/>
    <xf numFmtId="49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center"/>
    </xf>
    <xf numFmtId="0" fontId="7" fillId="0" borderId="0" xfId="0" applyNumberFormat="1" applyFont="1" applyBorder="1" applyAlignment="1">
      <alignment vertical="top"/>
    </xf>
    <xf numFmtId="0" fontId="5" fillId="0" borderId="0" xfId="0" applyNumberFormat="1" applyFont="1" applyBorder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top"/>
    </xf>
    <xf numFmtId="0" fontId="9" fillId="0" borderId="0" xfId="0" applyFont="1" applyBorder="1" applyAlignment="1">
      <alignment horizontal="left" vertical="top"/>
    </xf>
    <xf numFmtId="0" fontId="5" fillId="0" borderId="10" xfId="0" applyNumberFormat="1" applyFont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9" fillId="0" borderId="9" xfId="0" applyFont="1" applyBorder="1" applyAlignment="1">
      <alignment horizontal="left" vertical="top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top" indent="4"/>
    </xf>
    <xf numFmtId="0" fontId="9" fillId="0" borderId="9" xfId="0" applyFont="1" applyBorder="1" applyAlignment="1">
      <alignment horizontal="center" vertical="top"/>
    </xf>
    <xf numFmtId="0" fontId="9" fillId="0" borderId="9" xfId="0" applyFont="1" applyBorder="1" applyAlignment="1">
      <alignment vertical="top"/>
    </xf>
    <xf numFmtId="0" fontId="7" fillId="0" borderId="0" xfId="0" applyFont="1" applyAlignment="1">
      <alignment vertical="top"/>
    </xf>
    <xf numFmtId="49" fontId="14" fillId="0" borderId="0" xfId="0" applyNumberFormat="1" applyFont="1" applyBorder="1" applyAlignment="1">
      <alignment horizontal="left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15" fillId="0" borderId="9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center" wrapText="1"/>
    </xf>
    <xf numFmtId="0" fontId="9" fillId="0" borderId="0" xfId="0" applyFont="1" applyBorder="1" applyAlignment="1"/>
    <xf numFmtId="164" fontId="9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vertical="center"/>
    </xf>
    <xf numFmtId="0" fontId="9" fillId="0" borderId="9" xfId="0" applyFont="1" applyBorder="1" applyAlignment="1">
      <alignment horizontal="right" vertical="center"/>
    </xf>
    <xf numFmtId="0" fontId="6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/>
    </xf>
    <xf numFmtId="0" fontId="5" fillId="0" borderId="0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64" fontId="0" fillId="0" borderId="0" xfId="0" applyNumberFormat="1"/>
    <xf numFmtId="49" fontId="9" fillId="0" borderId="9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9" xfId="0" applyNumberFormat="1" applyBorder="1"/>
    <xf numFmtId="0" fontId="6" fillId="0" borderId="0" xfId="0" applyNumberFormat="1" applyFont="1" applyBorder="1" applyAlignment="1">
      <alignment vertical="center"/>
    </xf>
    <xf numFmtId="164" fontId="5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 vertical="top"/>
    </xf>
    <xf numFmtId="49" fontId="7" fillId="0" borderId="0" xfId="0" applyNumberFormat="1" applyFont="1" applyBorder="1" applyAlignment="1">
      <alignment horizontal="center" vertical="top" wrapText="1"/>
    </xf>
    <xf numFmtId="0" fontId="0" fillId="0" borderId="9" xfId="0" applyBorder="1"/>
    <xf numFmtId="0" fontId="0" fillId="0" borderId="0" xfId="0" applyBorder="1"/>
    <xf numFmtId="0" fontId="9" fillId="0" borderId="0" xfId="0" applyFont="1" applyBorder="1" applyAlignment="1">
      <alignment horizontal="left" vertical="top" indent="4"/>
    </xf>
    <xf numFmtId="0" fontId="9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 wrapText="1"/>
    </xf>
    <xf numFmtId="4" fontId="9" fillId="0" borderId="9" xfId="0" applyNumberFormat="1" applyFont="1" applyBorder="1" applyAlignment="1">
      <alignment horizontal="center" vertical="center" wrapText="1"/>
    </xf>
    <xf numFmtId="0" fontId="18" fillId="0" borderId="0" xfId="0" applyFont="1"/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/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7" fillId="0" borderId="0" xfId="0" applyNumberFormat="1" applyFont="1" applyBorder="1" applyAlignment="1">
      <alignment horizontal="center" vertical="top"/>
    </xf>
    <xf numFmtId="164" fontId="15" fillId="0" borderId="9" xfId="0" applyNumberFormat="1" applyFont="1" applyBorder="1" applyAlignment="1">
      <alignment horizontal="left"/>
    </xf>
    <xf numFmtId="0" fontId="21" fillId="0" borderId="9" xfId="0" applyFont="1" applyBorder="1" applyAlignment="1">
      <alignment vertical="center" wrapText="1"/>
    </xf>
    <xf numFmtId="4" fontId="21" fillId="0" borderId="9" xfId="0" applyNumberFormat="1" applyFont="1" applyBorder="1" applyAlignment="1">
      <alignment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right" vertical="center" wrapText="1"/>
    </xf>
    <xf numFmtId="0" fontId="21" fillId="0" borderId="9" xfId="0" applyFont="1" applyBorder="1" applyAlignment="1">
      <alignment horizontal="right" vertical="center"/>
    </xf>
    <xf numFmtId="4" fontId="21" fillId="0" borderId="9" xfId="0" applyNumberFormat="1" applyFont="1" applyBorder="1" applyAlignment="1">
      <alignment horizontal="right" vertical="center"/>
    </xf>
    <xf numFmtId="4" fontId="21" fillId="0" borderId="9" xfId="0" applyNumberFormat="1" applyFont="1" applyBorder="1" applyAlignment="1">
      <alignment horizontal="center" vertical="center" wrapText="1"/>
    </xf>
    <xf numFmtId="4" fontId="21" fillId="0" borderId="9" xfId="0" applyNumberFormat="1" applyFont="1" applyBorder="1" applyAlignment="1">
      <alignment horizontal="right" vertical="center" wrapText="1"/>
    </xf>
    <xf numFmtId="0" fontId="21" fillId="3" borderId="9" xfId="0" applyFont="1" applyFill="1" applyBorder="1" applyAlignment="1">
      <alignment vertical="center" wrapText="1"/>
    </xf>
    <xf numFmtId="0" fontId="21" fillId="3" borderId="9" xfId="0" applyFont="1" applyFill="1" applyBorder="1" applyAlignment="1">
      <alignment horizontal="right" vertical="center" wrapText="1"/>
    </xf>
    <xf numFmtId="0" fontId="21" fillId="3" borderId="9" xfId="0" applyFont="1" applyFill="1" applyBorder="1" applyAlignment="1">
      <alignment horizontal="right" vertical="center"/>
    </xf>
    <xf numFmtId="0" fontId="22" fillId="0" borderId="9" xfId="0" applyFont="1" applyBorder="1" applyAlignment="1">
      <alignment vertical="center" wrapText="1"/>
    </xf>
    <xf numFmtId="0" fontId="22" fillId="0" borderId="9" xfId="0" applyFont="1" applyBorder="1" applyAlignment="1">
      <alignment horizontal="center" vertical="center" wrapText="1"/>
    </xf>
    <xf numFmtId="4" fontId="22" fillId="0" borderId="9" xfId="0" applyNumberFormat="1" applyFont="1" applyBorder="1" applyAlignment="1">
      <alignment horizontal="center" vertical="center" wrapText="1"/>
    </xf>
    <xf numFmtId="4" fontId="22" fillId="0" borderId="9" xfId="0" applyNumberFormat="1" applyFont="1" applyBorder="1" applyAlignment="1">
      <alignment horizontal="right" vertical="center" wrapText="1"/>
    </xf>
    <xf numFmtId="0" fontId="10" fillId="0" borderId="0" xfId="0" applyFont="1"/>
    <xf numFmtId="0" fontId="21" fillId="0" borderId="0" xfId="0" applyFont="1" applyAlignment="1">
      <alignment vertical="center"/>
    </xf>
    <xf numFmtId="4" fontId="11" fillId="0" borderId="0" xfId="0" applyNumberFormat="1" applyFont="1"/>
    <xf numFmtId="0" fontId="5" fillId="2" borderId="0" xfId="0" applyFont="1" applyFill="1"/>
    <xf numFmtId="0" fontId="21" fillId="2" borderId="9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/>
    </xf>
    <xf numFmtId="0" fontId="21" fillId="2" borderId="9" xfId="0" applyFont="1" applyFill="1" applyBorder="1" applyAlignment="1">
      <alignment vertical="center" wrapText="1"/>
    </xf>
    <xf numFmtId="3" fontId="21" fillId="2" borderId="9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right" vertical="center"/>
    </xf>
    <xf numFmtId="0" fontId="5" fillId="2" borderId="9" xfId="0" applyFont="1" applyFill="1" applyBorder="1"/>
    <xf numFmtId="3" fontId="24" fillId="2" borderId="9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vertical="center"/>
    </xf>
    <xf numFmtId="3" fontId="22" fillId="2" borderId="9" xfId="0" applyNumberFormat="1" applyFont="1" applyFill="1" applyBorder="1" applyAlignment="1">
      <alignment horizontal="center" vertical="center"/>
    </xf>
    <xf numFmtId="0" fontId="0" fillId="2" borderId="0" xfId="0" applyFill="1"/>
    <xf numFmtId="0" fontId="22" fillId="2" borderId="0" xfId="0" applyFont="1" applyFill="1" applyBorder="1" applyAlignment="1">
      <alignment vertical="center" wrapText="1"/>
    </xf>
    <xf numFmtId="3" fontId="0" fillId="2" borderId="0" xfId="0" applyNumberFormat="1" applyFill="1"/>
    <xf numFmtId="0" fontId="0" fillId="2" borderId="9" xfId="0" applyFill="1" applyBorder="1"/>
    <xf numFmtId="0" fontId="1" fillId="2" borderId="0" xfId="0" applyFont="1" applyFill="1"/>
    <xf numFmtId="0" fontId="0" fillId="2" borderId="9" xfId="0" applyFill="1" applyBorder="1" applyAlignment="1">
      <alignment wrapText="1"/>
    </xf>
    <xf numFmtId="0" fontId="1" fillId="2" borderId="9" xfId="0" applyFont="1" applyFill="1" applyBorder="1"/>
    <xf numFmtId="3" fontId="21" fillId="2" borderId="9" xfId="0" applyNumberFormat="1" applyFont="1" applyFill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4" fontId="15" fillId="0" borderId="9" xfId="0" applyNumberFormat="1" applyFont="1" applyBorder="1" applyAlignment="1">
      <alignment horizontal="right" vertical="center"/>
    </xf>
    <xf numFmtId="0" fontId="21" fillId="0" borderId="9" xfId="0" applyFont="1" applyBorder="1" applyAlignment="1">
      <alignment vertical="center"/>
    </xf>
    <xf numFmtId="0" fontId="22" fillId="0" borderId="9" xfId="0" applyFont="1" applyBorder="1" applyAlignment="1">
      <alignment horizontal="center" vertical="center"/>
    </xf>
    <xf numFmtId="4" fontId="22" fillId="0" borderId="9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15" fillId="0" borderId="9" xfId="0" applyFont="1" applyBorder="1" applyAlignment="1">
      <alignment vertical="center"/>
    </xf>
    <xf numFmtId="0" fontId="15" fillId="0" borderId="9" xfId="0" applyFont="1" applyBorder="1" applyAlignment="1">
      <alignment horizontal="right" vertical="center"/>
    </xf>
    <xf numFmtId="0" fontId="0" fillId="0" borderId="9" xfId="0" applyBorder="1" applyAlignment="1">
      <alignment horizontal="center" vertical="center"/>
    </xf>
    <xf numFmtId="164" fontId="15" fillId="0" borderId="9" xfId="0" applyNumberFormat="1" applyFont="1" applyBorder="1" applyAlignment="1">
      <alignment horizontal="right" vertical="center" wrapText="1"/>
    </xf>
    <xf numFmtId="4" fontId="9" fillId="0" borderId="9" xfId="0" applyNumberFormat="1" applyFont="1" applyBorder="1" applyAlignment="1">
      <alignment horizontal="right" vertical="center" wrapText="1"/>
    </xf>
    <xf numFmtId="4" fontId="0" fillId="0" borderId="0" xfId="0" applyNumberFormat="1"/>
    <xf numFmtId="49" fontId="5" fillId="0" borderId="1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right" wrapText="1"/>
    </xf>
    <xf numFmtId="0" fontId="5" fillId="0" borderId="0" xfId="0" applyNumberFormat="1" applyFont="1" applyBorder="1" applyAlignment="1">
      <alignment horizontal="center"/>
    </xf>
    <xf numFmtId="0" fontId="14" fillId="0" borderId="9" xfId="0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4" fontId="15" fillId="2" borderId="9" xfId="0" applyNumberFormat="1" applyFont="1" applyFill="1" applyBorder="1" applyAlignment="1">
      <alignment horizontal="center" vertical="center" wrapText="1"/>
    </xf>
    <xf numFmtId="4" fontId="15" fillId="2" borderId="9" xfId="0" applyNumberFormat="1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vertical="center" wrapText="1"/>
    </xf>
    <xf numFmtId="4" fontId="9" fillId="2" borderId="9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horizontal="left"/>
    </xf>
    <xf numFmtId="4" fontId="9" fillId="2" borderId="9" xfId="0" applyNumberFormat="1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right" vertical="center" wrapText="1"/>
    </xf>
    <xf numFmtId="0" fontId="15" fillId="2" borderId="9" xfId="0" applyFont="1" applyFill="1" applyBorder="1" applyAlignment="1">
      <alignment vertical="center" wrapText="1"/>
    </xf>
    <xf numFmtId="4" fontId="0" fillId="2" borderId="0" xfId="0" applyNumberFormat="1" applyFill="1"/>
    <xf numFmtId="0" fontId="15" fillId="2" borderId="9" xfId="0" applyFont="1" applyFill="1" applyBorder="1" applyAlignment="1">
      <alignment horizontal="right" vertical="center" wrapText="1"/>
    </xf>
    <xf numFmtId="4" fontId="15" fillId="2" borderId="9" xfId="0" applyNumberFormat="1" applyFont="1" applyFill="1" applyBorder="1"/>
    <xf numFmtId="0" fontId="25" fillId="0" borderId="9" xfId="0" applyFont="1" applyBorder="1"/>
    <xf numFmtId="0" fontId="11" fillId="0" borderId="9" xfId="0" applyFont="1" applyBorder="1" applyAlignment="1">
      <alignment horizontal="left"/>
    </xf>
    <xf numFmtId="0" fontId="22" fillId="0" borderId="9" xfId="0" applyFont="1" applyBorder="1" applyAlignment="1">
      <alignment vertical="center"/>
    </xf>
    <xf numFmtId="0" fontId="5" fillId="0" borderId="9" xfId="0" applyFont="1" applyBorder="1"/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49" fontId="5" fillId="0" borderId="9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right" vertical="center" wrapText="1"/>
    </xf>
    <xf numFmtId="164" fontId="9" fillId="0" borderId="9" xfId="0" applyNumberFormat="1" applyFont="1" applyBorder="1" applyAlignment="1">
      <alignment horizontal="right" vertical="center" wrapText="1"/>
    </xf>
    <xf numFmtId="49" fontId="15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/>
    <xf numFmtId="164" fontId="9" fillId="0" borderId="9" xfId="0" applyNumberFormat="1" applyFont="1" applyBorder="1"/>
    <xf numFmtId="49" fontId="9" fillId="0" borderId="9" xfId="0" applyNumberFormat="1" applyFont="1" applyBorder="1" applyAlignment="1">
      <alignment vertical="center" wrapText="1"/>
    </xf>
    <xf numFmtId="0" fontId="9" fillId="0" borderId="9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/>
    </xf>
    <xf numFmtId="3" fontId="15" fillId="0" borderId="9" xfId="0" applyNumberFormat="1" applyFont="1" applyBorder="1" applyAlignment="1">
      <alignment horizontal="right" vertical="center" wrapText="1"/>
    </xf>
    <xf numFmtId="3" fontId="22" fillId="0" borderId="9" xfId="0" applyNumberFormat="1" applyFont="1" applyBorder="1" applyAlignment="1">
      <alignment horizontal="right" vertical="center"/>
    </xf>
    <xf numFmtId="0" fontId="26" fillId="0" borderId="9" xfId="0" applyFont="1" applyBorder="1" applyAlignment="1">
      <alignment horizontal="center" vertical="center"/>
    </xf>
    <xf numFmtId="0" fontId="26" fillId="0" borderId="9" xfId="0" applyFont="1" applyBorder="1" applyAlignment="1">
      <alignment vertical="center"/>
    </xf>
    <xf numFmtId="0" fontId="6" fillId="0" borderId="9" xfId="0" applyFont="1" applyBorder="1"/>
    <xf numFmtId="164" fontId="4" fillId="0" borderId="9" xfId="0" applyNumberFormat="1" applyFont="1" applyBorder="1"/>
    <xf numFmtId="164" fontId="15" fillId="0" borderId="9" xfId="0" applyNumberFormat="1" applyFont="1" applyBorder="1"/>
    <xf numFmtId="49" fontId="26" fillId="0" borderId="9" xfId="0" applyNumberFormat="1" applyFont="1" applyBorder="1" applyAlignment="1">
      <alignment vertical="center" wrapText="1"/>
    </xf>
    <xf numFmtId="0" fontId="26" fillId="0" borderId="9" xfId="0" applyFont="1" applyBorder="1" applyAlignment="1">
      <alignment vertical="center" wrapText="1"/>
    </xf>
    <xf numFmtId="0" fontId="26" fillId="0" borderId="9" xfId="0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vertical="center" wrapText="1"/>
    </xf>
    <xf numFmtId="4" fontId="9" fillId="0" borderId="9" xfId="0" applyNumberFormat="1" applyFont="1" applyBorder="1"/>
    <xf numFmtId="4" fontId="6" fillId="0" borderId="9" xfId="0" applyNumberFormat="1" applyFont="1" applyBorder="1"/>
    <xf numFmtId="0" fontId="6" fillId="0" borderId="9" xfId="0" applyFont="1" applyBorder="1" applyAlignment="1">
      <alignment horizontal="left" vertical="center"/>
    </xf>
    <xf numFmtId="164" fontId="9" fillId="0" borderId="9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right" wrapText="1"/>
    </xf>
    <xf numFmtId="49" fontId="5" fillId="0" borderId="1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top" indent="1"/>
    </xf>
    <xf numFmtId="0" fontId="9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top"/>
    </xf>
    <xf numFmtId="164" fontId="15" fillId="0" borderId="0" xfId="0" applyNumberFormat="1" applyFont="1" applyBorder="1" applyAlignment="1">
      <alignment horizontal="left" vertical="center"/>
    </xf>
    <xf numFmtId="0" fontId="9" fillId="0" borderId="0" xfId="0" applyFont="1" applyBorder="1" applyAlignment="1">
      <alignment horizontal="left" indent="1"/>
    </xf>
    <xf numFmtId="0" fontId="9" fillId="0" borderId="0" xfId="0" applyFont="1" applyBorder="1" applyAlignment="1">
      <alignment horizontal="left" vertical="top" indent="2"/>
    </xf>
    <xf numFmtId="0" fontId="11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164" fontId="15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49" fontId="9" fillId="2" borderId="9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left" vertical="top"/>
    </xf>
    <xf numFmtId="164" fontId="9" fillId="2" borderId="9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right" wrapText="1"/>
    </xf>
    <xf numFmtId="49" fontId="7" fillId="0" borderId="2" xfId="0" applyNumberFormat="1" applyFont="1" applyBorder="1" applyAlignment="1">
      <alignment horizontal="right" vertical="top" wrapText="1"/>
    </xf>
    <xf numFmtId="49" fontId="5" fillId="0" borderId="10" xfId="0" applyNumberFormat="1" applyFont="1" applyBorder="1" applyAlignment="1">
      <alignment horizontal="right" vertical="center" wrapText="1"/>
    </xf>
    <xf numFmtId="49" fontId="9" fillId="0" borderId="9" xfId="0" applyNumberFormat="1" applyFont="1" applyBorder="1" applyAlignment="1">
      <alignment horizontal="right" wrapText="1"/>
    </xf>
    <xf numFmtId="49" fontId="11" fillId="0" borderId="9" xfId="0" applyNumberFormat="1" applyFont="1" applyBorder="1" applyAlignment="1">
      <alignment horizontal="left" wrapText="1"/>
    </xf>
    <xf numFmtId="49" fontId="9" fillId="0" borderId="9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horizontal="left" wrapText="1"/>
    </xf>
    <xf numFmtId="49" fontId="0" fillId="0" borderId="0" xfId="0" applyNumberFormat="1" applyAlignment="1">
      <alignment horizontal="right" wrapText="1"/>
    </xf>
    <xf numFmtId="49" fontId="3" fillId="0" borderId="0" xfId="0" applyNumberFormat="1" applyFont="1" applyBorder="1" applyAlignment="1">
      <alignment horizontal="right" wrapText="1"/>
    </xf>
    <xf numFmtId="0" fontId="2" fillId="0" borderId="0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left" vertical="center"/>
    </xf>
    <xf numFmtId="0" fontId="15" fillId="2" borderId="9" xfId="0" applyFont="1" applyFill="1" applyBorder="1" applyAlignment="1">
      <alignment horizontal="center" vertical="center"/>
    </xf>
    <xf numFmtId="49" fontId="15" fillId="2" borderId="9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top"/>
    </xf>
    <xf numFmtId="0" fontId="1" fillId="0" borderId="0" xfId="0" applyFont="1"/>
    <xf numFmtId="49" fontId="13" fillId="0" borderId="9" xfId="0" applyNumberFormat="1" applyFont="1" applyBorder="1" applyAlignment="1">
      <alignment horizontal="right" wrapText="1"/>
    </xf>
    <xf numFmtId="49" fontId="9" fillId="2" borderId="9" xfId="0" applyNumberFormat="1" applyFont="1" applyFill="1" applyBorder="1" applyAlignment="1">
      <alignment horizontal="left" wrapText="1"/>
    </xf>
    <xf numFmtId="49" fontId="9" fillId="2" borderId="9" xfId="0" applyNumberFormat="1" applyFont="1" applyFill="1" applyBorder="1" applyAlignment="1">
      <alignment horizontal="left" vertical="center" wrapText="1"/>
    </xf>
    <xf numFmtId="49" fontId="9" fillId="2" borderId="9" xfId="0" applyNumberFormat="1" applyFont="1" applyFill="1" applyBorder="1" applyAlignment="1">
      <alignment horizontal="left" vertical="top" wrapText="1"/>
    </xf>
    <xf numFmtId="49" fontId="13" fillId="0" borderId="9" xfId="0" applyNumberFormat="1" applyFont="1" applyBorder="1" applyAlignment="1">
      <alignment horizontal="right" vertical="top" wrapText="1"/>
    </xf>
    <xf numFmtId="164" fontId="15" fillId="0" borderId="10" xfId="0" applyNumberFormat="1" applyFont="1" applyBorder="1" applyAlignment="1">
      <alignment horizontal="center" vertical="center" wrapText="1"/>
    </xf>
    <xf numFmtId="49" fontId="15" fillId="0" borderId="10" xfId="0" applyNumberFormat="1" applyFont="1" applyBorder="1" applyAlignment="1">
      <alignment horizontal="right" vertical="center" wrapText="1"/>
    </xf>
    <xf numFmtId="0" fontId="15" fillId="0" borderId="10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 wrapText="1"/>
    </xf>
    <xf numFmtId="0" fontId="15" fillId="0" borderId="8" xfId="0" applyNumberFormat="1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right" wrapText="1"/>
    </xf>
    <xf numFmtId="0" fontId="13" fillId="0" borderId="9" xfId="0" applyFont="1" applyBorder="1" applyAlignment="1">
      <alignment horizontal="center" vertical="center"/>
    </xf>
    <xf numFmtId="0" fontId="15" fillId="0" borderId="9" xfId="0" applyFont="1" applyBorder="1" applyAlignment="1"/>
    <xf numFmtId="49" fontId="27" fillId="0" borderId="9" xfId="0" applyNumberFormat="1" applyFont="1" applyBorder="1" applyAlignment="1">
      <alignment horizontal="left" wrapText="1"/>
    </xf>
    <xf numFmtId="49" fontId="27" fillId="0" borderId="9" xfId="0" applyNumberFormat="1" applyFont="1" applyBorder="1" applyAlignment="1">
      <alignment horizontal="left" vertical="top" wrapText="1"/>
    </xf>
    <xf numFmtId="49" fontId="12" fillId="0" borderId="9" xfId="0" applyNumberFormat="1" applyFont="1" applyBorder="1" applyAlignment="1">
      <alignment horizontal="left" wrapText="1"/>
    </xf>
    <xf numFmtId="164" fontId="1" fillId="0" borderId="0" xfId="0" applyNumberFormat="1" applyFont="1"/>
    <xf numFmtId="0" fontId="6" fillId="0" borderId="0" xfId="0" applyFont="1"/>
    <xf numFmtId="0" fontId="4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right" wrapText="1"/>
    </xf>
    <xf numFmtId="0" fontId="5" fillId="0" borderId="0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17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righ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28" fillId="2" borderId="9" xfId="0" applyFont="1" applyFill="1" applyBorder="1" applyAlignment="1">
      <alignment horizontal="center" wrapText="1"/>
    </xf>
    <xf numFmtId="3" fontId="28" fillId="2" borderId="9" xfId="0" applyNumberFormat="1" applyFont="1" applyFill="1" applyBorder="1" applyAlignment="1">
      <alignment horizontal="center" vertical="center" wrapText="1"/>
    </xf>
    <xf numFmtId="0" fontId="29" fillId="2" borderId="9" xfId="0" applyFont="1" applyFill="1" applyBorder="1" applyAlignment="1">
      <alignment horizontal="center" vertical="center" wrapText="1"/>
    </xf>
    <xf numFmtId="4" fontId="28" fillId="2" borderId="9" xfId="0" applyNumberFormat="1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4" fontId="28" fillId="2" borderId="9" xfId="1" applyNumberFormat="1" applyFont="1" applyFill="1" applyBorder="1" applyAlignment="1">
      <alignment horizontal="center" vertical="center" wrapText="1"/>
    </xf>
    <xf numFmtId="1" fontId="30" fillId="2" borderId="9" xfId="0" applyNumberFormat="1" applyFont="1" applyFill="1" applyBorder="1" applyAlignment="1">
      <alignment horizontal="center" vertical="center" wrapText="1"/>
    </xf>
    <xf numFmtId="4" fontId="32" fillId="2" borderId="9" xfId="1" applyNumberFormat="1" applyFont="1" applyFill="1" applyBorder="1" applyAlignment="1">
      <alignment horizontal="center" vertical="center" wrapText="1"/>
    </xf>
    <xf numFmtId="49" fontId="28" fillId="2" borderId="9" xfId="0" applyNumberFormat="1" applyFont="1" applyFill="1" applyBorder="1" applyAlignment="1">
      <alignment vertical="justify" wrapText="1"/>
    </xf>
    <xf numFmtId="49" fontId="31" fillId="2" borderId="9" xfId="0" applyNumberFormat="1" applyFont="1" applyFill="1" applyBorder="1" applyAlignment="1">
      <alignment vertical="justify"/>
    </xf>
    <xf numFmtId="49" fontId="34" fillId="0" borderId="9" xfId="0" applyNumberFormat="1" applyFont="1" applyBorder="1" applyAlignment="1">
      <alignment vertical="justify"/>
    </xf>
    <xf numFmtId="49" fontId="19" fillId="2" borderId="0" xfId="0" applyNumberFormat="1" applyFont="1" applyFill="1" applyBorder="1" applyAlignment="1">
      <alignment vertical="justify" wrapText="1"/>
    </xf>
    <xf numFmtId="49" fontId="0" fillId="0" borderId="0" xfId="0" applyNumberFormat="1" applyAlignment="1">
      <alignment vertical="justify"/>
    </xf>
    <xf numFmtId="4" fontId="33" fillId="0" borderId="9" xfId="0" applyNumberFormat="1" applyFont="1" applyBorder="1" applyAlignment="1">
      <alignment horizontal="center" vertical="center" wrapText="1"/>
    </xf>
    <xf numFmtId="1" fontId="26" fillId="2" borderId="9" xfId="0" applyNumberFormat="1" applyFont="1" applyFill="1" applyBorder="1" applyAlignment="1">
      <alignment horizontal="center" shrinkToFit="1"/>
    </xf>
    <xf numFmtId="3" fontId="10" fillId="2" borderId="9" xfId="0" applyNumberFormat="1" applyFont="1" applyFill="1" applyBorder="1" applyAlignment="1">
      <alignment horizontal="center" vertical="center" wrapText="1"/>
    </xf>
    <xf numFmtId="0" fontId="35" fillId="2" borderId="9" xfId="0" applyFont="1" applyFill="1" applyBorder="1" applyAlignment="1">
      <alignment horizontal="center" vertical="center" wrapText="1"/>
    </xf>
    <xf numFmtId="4" fontId="26" fillId="2" borderId="9" xfId="0" applyNumberFormat="1" applyFont="1" applyFill="1" applyBorder="1" applyAlignment="1">
      <alignment horizontal="center" vertical="center" shrinkToFit="1"/>
    </xf>
    <xf numFmtId="4" fontId="26" fillId="0" borderId="9" xfId="0" applyNumberFormat="1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horizontal="center" vertical="center"/>
    </xf>
    <xf numFmtId="1" fontId="26" fillId="0" borderId="9" xfId="0" applyNumberFormat="1" applyFont="1" applyFill="1" applyBorder="1" applyAlignment="1">
      <alignment horizontal="center" vertical="center"/>
    </xf>
    <xf numFmtId="4" fontId="37" fillId="2" borderId="9" xfId="0" applyNumberFormat="1" applyFont="1" applyFill="1" applyBorder="1" applyAlignment="1">
      <alignment horizontal="center" vertical="center"/>
    </xf>
    <xf numFmtId="4" fontId="18" fillId="0" borderId="9" xfId="0" applyNumberFormat="1" applyFont="1" applyBorder="1"/>
    <xf numFmtId="165" fontId="36" fillId="2" borderId="9" xfId="0" applyNumberFormat="1" applyFont="1" applyFill="1" applyBorder="1" applyAlignment="1">
      <alignment horizontal="center" vertical="center" shrinkToFit="1"/>
    </xf>
    <xf numFmtId="0" fontId="36" fillId="2" borderId="9" xfId="0" applyFont="1" applyFill="1" applyBorder="1" applyAlignment="1">
      <alignment horizontal="center" vertical="center" wrapText="1"/>
    </xf>
    <xf numFmtId="3" fontId="26" fillId="2" borderId="9" xfId="0" applyNumberFormat="1" applyFont="1" applyFill="1" applyBorder="1" applyAlignment="1">
      <alignment horizontal="center" vertical="center" shrinkToFit="1"/>
    </xf>
    <xf numFmtId="1" fontId="36" fillId="2" borderId="9" xfId="0" applyNumberFormat="1" applyFont="1" applyFill="1" applyBorder="1" applyAlignment="1">
      <alignment horizontal="center" vertical="center" wrapText="1" shrinkToFit="1"/>
    </xf>
    <xf numFmtId="4" fontId="26" fillId="2" borderId="9" xfId="0" applyNumberFormat="1" applyFont="1" applyFill="1" applyBorder="1" applyAlignment="1">
      <alignment horizontal="center" vertical="center"/>
    </xf>
    <xf numFmtId="4" fontId="10" fillId="2" borderId="9" xfId="0" applyNumberFormat="1" applyFont="1" applyFill="1" applyBorder="1" applyAlignment="1">
      <alignment horizontal="center" vertical="center" wrapText="1"/>
    </xf>
    <xf numFmtId="0" fontId="36" fillId="2" borderId="9" xfId="0" applyFont="1" applyFill="1" applyBorder="1" applyAlignment="1">
      <alignment horizontal="center" vertical="center"/>
    </xf>
    <xf numFmtId="1" fontId="36" fillId="2" borderId="9" xfId="0" applyNumberFormat="1" applyFont="1" applyFill="1" applyBorder="1" applyAlignment="1">
      <alignment horizontal="center" vertical="center"/>
    </xf>
    <xf numFmtId="1" fontId="26" fillId="2" borderId="9" xfId="0" applyNumberFormat="1" applyFont="1" applyFill="1" applyBorder="1" applyAlignment="1">
      <alignment horizontal="center" vertical="center"/>
    </xf>
    <xf numFmtId="4" fontId="26" fillId="2" borderId="9" xfId="0" applyNumberFormat="1" applyFont="1" applyFill="1" applyBorder="1" applyAlignment="1">
      <alignment horizontal="center" vertical="center" wrapText="1"/>
    </xf>
    <xf numFmtId="3" fontId="26" fillId="2" borderId="9" xfId="0" applyNumberFormat="1" applyFont="1" applyFill="1" applyBorder="1" applyAlignment="1">
      <alignment horizontal="center" vertical="center" wrapText="1"/>
    </xf>
    <xf numFmtId="1" fontId="38" fillId="0" borderId="9" xfId="0" applyNumberFormat="1" applyFont="1" applyBorder="1" applyAlignment="1">
      <alignment horizontal="center"/>
    </xf>
    <xf numFmtId="3" fontId="38" fillId="0" borderId="9" xfId="0" applyNumberFormat="1" applyFont="1" applyBorder="1"/>
    <xf numFmtId="4" fontId="38" fillId="0" borderId="9" xfId="0" applyNumberFormat="1" applyFont="1" applyBorder="1"/>
    <xf numFmtId="4" fontId="31" fillId="2" borderId="9" xfId="0" applyNumberFormat="1" applyFont="1" applyFill="1" applyBorder="1" applyAlignment="1">
      <alignment horizontal="center" vertical="center"/>
    </xf>
    <xf numFmtId="3" fontId="38" fillId="2" borderId="9" xfId="0" applyNumberFormat="1" applyFont="1" applyFill="1" applyBorder="1"/>
    <xf numFmtId="49" fontId="7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/>
    </xf>
    <xf numFmtId="49" fontId="5" fillId="0" borderId="3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/>
    </xf>
    <xf numFmtId="0" fontId="7" fillId="0" borderId="2" xfId="0" applyNumberFormat="1" applyFont="1" applyBorder="1" applyAlignment="1">
      <alignment horizontal="center" vertical="top"/>
    </xf>
    <xf numFmtId="49" fontId="5" fillId="0" borderId="0" xfId="0" applyNumberFormat="1" applyFont="1" applyBorder="1" applyAlignment="1">
      <alignment horizontal="right" wrapText="1"/>
    </xf>
    <xf numFmtId="0" fontId="8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wrapText="1"/>
    </xf>
    <xf numFmtId="49" fontId="5" fillId="0" borderId="3" xfId="0" applyNumberFormat="1" applyFont="1" applyBorder="1" applyAlignment="1">
      <alignment horizontal="center" wrapText="1"/>
    </xf>
    <xf numFmtId="49" fontId="5" fillId="0" borderId="12" xfId="0" applyNumberFormat="1" applyFont="1" applyBorder="1" applyAlignment="1">
      <alignment horizontal="right" vertical="center" wrapText="1"/>
    </xf>
    <xf numFmtId="49" fontId="5" fillId="0" borderId="13" xfId="0" applyNumberFormat="1" applyFont="1" applyBorder="1" applyAlignment="1">
      <alignment horizontal="right" vertical="center" wrapText="1"/>
    </xf>
    <xf numFmtId="49" fontId="5" fillId="0" borderId="14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5" xfId="0" applyNumberFormat="1" applyFont="1" applyBorder="1" applyAlignment="1">
      <alignment horizontal="center" wrapText="1"/>
    </xf>
    <xf numFmtId="49" fontId="5" fillId="0" borderId="6" xfId="0" applyNumberFormat="1" applyFont="1" applyBorder="1" applyAlignment="1">
      <alignment horizont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top"/>
    </xf>
    <xf numFmtId="0" fontId="17" fillId="0" borderId="0" xfId="0" applyNumberFormat="1" applyFont="1" applyBorder="1" applyAlignment="1">
      <alignment horizontal="left" vertical="center"/>
    </xf>
    <xf numFmtId="49" fontId="5" fillId="0" borderId="3" xfId="0" applyNumberFormat="1" applyFont="1" applyBorder="1" applyAlignment="1">
      <alignment vertical="justify" wrapText="1"/>
    </xf>
    <xf numFmtId="49" fontId="1" fillId="0" borderId="1" xfId="0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22" fillId="2" borderId="9" xfId="0" applyFont="1" applyFill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89;&#1095;&#1077;&#1090;%20&#1087;&#1080;&#1090;&#1072;&#1085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вый лист"/>
      <sheetName val="Лист2"/>
      <sheetName val="02.07.2018"/>
    </sheetNames>
    <sheetDataSet>
      <sheetData sheetId="0">
        <row r="80">
          <cell r="C80" t="str">
            <v>59,72</v>
          </cell>
        </row>
        <row r="209">
          <cell r="C209" t="str">
            <v>67,96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opLeftCell="A34" zoomScaleNormal="100" workbookViewId="0">
      <selection activeCell="I48" sqref="I48"/>
    </sheetView>
  </sheetViews>
  <sheetFormatPr defaultRowHeight="15" x14ac:dyDescent="0.25"/>
  <cols>
    <col min="1" max="1" width="50.28515625" style="213" customWidth="1"/>
    <col min="2" max="2" width="7.42578125" style="40" customWidth="1"/>
    <col min="3" max="3" width="7.140625" style="40" customWidth="1"/>
    <col min="4" max="4" width="10.85546875" style="40" customWidth="1"/>
    <col min="5" max="5" width="15.5703125" style="53" customWidth="1"/>
    <col min="6" max="6" width="8.28515625" style="40" customWidth="1"/>
    <col min="7" max="7" width="7.42578125" style="40" customWidth="1"/>
    <col min="8" max="8" width="9.7109375" customWidth="1"/>
    <col min="9" max="9" width="18.85546875" style="77" customWidth="1"/>
    <col min="10" max="10" width="11.42578125" bestFit="1" customWidth="1"/>
  </cols>
  <sheetData>
    <row r="1" spans="1:9" ht="30.75" customHeight="1" x14ac:dyDescent="0.25">
      <c r="A1" s="204"/>
      <c r="B1" s="215"/>
      <c r="C1" s="215"/>
      <c r="D1" s="215"/>
      <c r="E1" s="292" t="s">
        <v>40</v>
      </c>
      <c r="F1" s="292"/>
      <c r="G1" s="292"/>
      <c r="H1" s="292"/>
      <c r="I1" s="292"/>
    </row>
    <row r="2" spans="1:9" x14ac:dyDescent="0.25">
      <c r="A2" s="293" t="s">
        <v>37</v>
      </c>
      <c r="B2" s="293"/>
      <c r="C2" s="178"/>
      <c r="D2" s="184"/>
      <c r="E2" s="294" t="s">
        <v>0</v>
      </c>
      <c r="F2" s="294"/>
      <c r="G2" s="294"/>
      <c r="H2" s="294"/>
      <c r="I2" s="294"/>
    </row>
    <row r="3" spans="1:9" x14ac:dyDescent="0.25">
      <c r="A3" s="295"/>
      <c r="B3" s="295"/>
      <c r="C3" s="38"/>
      <c r="D3" s="184"/>
      <c r="E3" s="295" t="s">
        <v>1</v>
      </c>
      <c r="F3" s="295"/>
      <c r="G3" s="295"/>
      <c r="H3" s="295"/>
      <c r="I3" s="295"/>
    </row>
    <row r="4" spans="1:9" x14ac:dyDescent="0.25">
      <c r="A4" s="205" t="s">
        <v>2</v>
      </c>
      <c r="B4" s="216"/>
      <c r="C4" s="39"/>
      <c r="D4" s="39"/>
      <c r="E4" s="291" t="s">
        <v>3</v>
      </c>
      <c r="F4" s="291"/>
      <c r="G4" s="291"/>
      <c r="H4" s="291"/>
      <c r="I4" s="291"/>
    </row>
    <row r="5" spans="1:9" x14ac:dyDescent="0.25">
      <c r="A5" s="295"/>
      <c r="B5" s="295"/>
      <c r="C5" s="38"/>
      <c r="D5" s="184"/>
      <c r="E5" s="297" t="s">
        <v>4</v>
      </c>
      <c r="F5" s="297"/>
      <c r="G5" s="297"/>
      <c r="H5" s="297"/>
      <c r="I5" s="297"/>
    </row>
    <row r="6" spans="1:9" x14ac:dyDescent="0.25">
      <c r="A6" s="205" t="s">
        <v>5</v>
      </c>
      <c r="B6" s="216"/>
      <c r="C6" s="39"/>
      <c r="D6" s="39"/>
      <c r="E6" s="291" t="s">
        <v>5</v>
      </c>
      <c r="F6" s="291"/>
      <c r="G6" s="291"/>
      <c r="H6" s="291"/>
      <c r="I6" s="291"/>
    </row>
    <row r="7" spans="1:9" x14ac:dyDescent="0.25">
      <c r="A7" s="297"/>
      <c r="B7" s="297"/>
      <c r="C7" s="38"/>
      <c r="D7" s="184"/>
      <c r="E7" s="49"/>
      <c r="F7" s="182"/>
      <c r="G7" s="12"/>
      <c r="H7" s="4" t="s">
        <v>6</v>
      </c>
      <c r="I7" s="76"/>
    </row>
    <row r="8" spans="1:9" x14ac:dyDescent="0.25">
      <c r="A8" s="205" t="s">
        <v>38</v>
      </c>
      <c r="B8" s="216"/>
      <c r="C8" s="39"/>
      <c r="D8" s="39"/>
      <c r="E8" s="298" t="s">
        <v>7</v>
      </c>
      <c r="F8" s="298"/>
      <c r="G8" s="39"/>
      <c r="H8" s="23" t="s">
        <v>8</v>
      </c>
    </row>
    <row r="9" spans="1:9" x14ac:dyDescent="0.25">
      <c r="A9" s="131" t="s">
        <v>41</v>
      </c>
      <c r="B9" s="184"/>
      <c r="C9" s="217"/>
      <c r="D9" s="184"/>
      <c r="E9" s="299" t="s">
        <v>41</v>
      </c>
      <c r="F9" s="299"/>
      <c r="G9" s="299"/>
      <c r="H9" s="299"/>
      <c r="I9" s="299"/>
    </row>
    <row r="10" spans="1:9" x14ac:dyDescent="0.25">
      <c r="A10" s="179"/>
      <c r="B10" s="184"/>
      <c r="C10" s="217"/>
      <c r="D10" s="184"/>
      <c r="E10" s="179"/>
      <c r="F10" s="179"/>
      <c r="G10" s="179"/>
      <c r="H10" s="179"/>
      <c r="I10" s="179"/>
    </row>
    <row r="11" spans="1:9" ht="18.75" x14ac:dyDescent="0.3">
      <c r="A11" s="300" t="s">
        <v>489</v>
      </c>
      <c r="B11" s="300"/>
      <c r="C11" s="300"/>
      <c r="D11" s="300"/>
      <c r="E11" s="300"/>
      <c r="F11" s="300"/>
      <c r="G11" s="300"/>
      <c r="H11" s="300"/>
      <c r="I11" s="300"/>
    </row>
    <row r="12" spans="1:9" ht="12" customHeight="1" x14ac:dyDescent="0.25">
      <c r="A12" s="131"/>
      <c r="B12" s="184"/>
      <c r="C12" s="184"/>
      <c r="D12" s="184"/>
      <c r="E12" s="186"/>
      <c r="F12" s="301"/>
      <c r="G12" s="301"/>
      <c r="H12" s="302"/>
      <c r="I12" s="302"/>
    </row>
    <row r="13" spans="1:9" ht="30" customHeight="1" x14ac:dyDescent="0.25">
      <c r="A13" s="24" t="s">
        <v>9</v>
      </c>
      <c r="B13" s="303" t="s">
        <v>10</v>
      </c>
      <c r="C13" s="303"/>
      <c r="D13" s="303"/>
      <c r="E13" s="303"/>
      <c r="F13" s="303"/>
      <c r="G13" s="303"/>
      <c r="H13" s="303"/>
      <c r="I13" s="303"/>
    </row>
    <row r="14" spans="1:9" ht="30" customHeight="1" x14ac:dyDescent="0.25">
      <c r="A14" s="24" t="s">
        <v>11</v>
      </c>
      <c r="B14" s="304" t="s">
        <v>12</v>
      </c>
      <c r="C14" s="304"/>
      <c r="D14" s="304"/>
      <c r="E14" s="304"/>
      <c r="F14" s="304"/>
      <c r="G14" s="304"/>
      <c r="H14" s="304"/>
      <c r="I14" s="304"/>
    </row>
    <row r="15" spans="1:9" ht="30" customHeight="1" x14ac:dyDescent="0.25">
      <c r="A15" s="24" t="s">
        <v>13</v>
      </c>
      <c r="B15" s="296" t="s">
        <v>14</v>
      </c>
      <c r="C15" s="296"/>
      <c r="D15" s="296"/>
      <c r="E15" s="296"/>
      <c r="F15" s="296"/>
      <c r="G15" s="296"/>
      <c r="H15" s="296"/>
      <c r="I15" s="296"/>
    </row>
    <row r="16" spans="1:9" x14ac:dyDescent="0.25">
      <c r="A16" s="24" t="s">
        <v>15</v>
      </c>
      <c r="B16" s="304" t="s">
        <v>39</v>
      </c>
      <c r="C16" s="304"/>
      <c r="D16" s="304"/>
      <c r="E16" s="304"/>
      <c r="F16" s="304"/>
      <c r="G16" s="304"/>
      <c r="H16" s="304"/>
      <c r="I16" s="304"/>
    </row>
    <row r="17" spans="1:9" x14ac:dyDescent="0.25">
      <c r="A17" s="24" t="s">
        <v>198</v>
      </c>
      <c r="B17" s="304" t="s">
        <v>488</v>
      </c>
      <c r="C17" s="304"/>
      <c r="D17" s="304"/>
      <c r="E17" s="304"/>
      <c r="F17" s="304"/>
      <c r="G17" s="304"/>
      <c r="H17" s="304"/>
      <c r="I17" s="304"/>
    </row>
    <row r="18" spans="1:9" ht="15.75" thickBot="1" x14ac:dyDescent="0.3">
      <c r="A18" s="131"/>
      <c r="B18" s="305"/>
      <c r="C18" s="305"/>
      <c r="D18" s="305"/>
      <c r="E18" s="305"/>
      <c r="F18" s="305"/>
      <c r="G18" s="305"/>
      <c r="H18" s="305"/>
      <c r="I18" s="305"/>
    </row>
    <row r="19" spans="1:9" x14ac:dyDescent="0.25">
      <c r="A19" s="306" t="s">
        <v>16</v>
      </c>
      <c r="B19" s="308" t="s">
        <v>42</v>
      </c>
      <c r="C19" s="310" t="s">
        <v>17</v>
      </c>
      <c r="D19" s="311"/>
      <c r="E19" s="311"/>
      <c r="F19" s="311"/>
      <c r="G19" s="311"/>
      <c r="H19" s="312"/>
      <c r="I19" s="313" t="s">
        <v>490</v>
      </c>
    </row>
    <row r="20" spans="1:9" ht="51" x14ac:dyDescent="0.25">
      <c r="A20" s="307"/>
      <c r="B20" s="309"/>
      <c r="C20" s="11" t="s">
        <v>18</v>
      </c>
      <c r="D20" s="11" t="s">
        <v>19</v>
      </c>
      <c r="E20" s="11" t="s">
        <v>20</v>
      </c>
      <c r="F20" s="11" t="s">
        <v>21</v>
      </c>
      <c r="G20" s="11" t="s">
        <v>22</v>
      </c>
      <c r="H20" s="11" t="s">
        <v>43</v>
      </c>
      <c r="I20" s="309"/>
    </row>
    <row r="21" spans="1:9" x14ac:dyDescent="0.25">
      <c r="A21" s="206">
        <v>1</v>
      </c>
      <c r="B21" s="15">
        <v>2</v>
      </c>
      <c r="C21" s="15">
        <v>3</v>
      </c>
      <c r="D21" s="15">
        <v>4</v>
      </c>
      <c r="E21" s="180">
        <v>5</v>
      </c>
      <c r="F21" s="15">
        <v>6</v>
      </c>
      <c r="G21" s="15">
        <v>7</v>
      </c>
      <c r="H21" s="16">
        <v>8</v>
      </c>
      <c r="I21" s="130">
        <v>9</v>
      </c>
    </row>
    <row r="22" spans="1:9" ht="63" x14ac:dyDescent="0.25">
      <c r="A22" s="230" t="s">
        <v>493</v>
      </c>
      <c r="B22" s="231"/>
      <c r="C22" s="231"/>
      <c r="D22" s="231"/>
      <c r="E22" s="232"/>
      <c r="F22" s="231">
        <v>100</v>
      </c>
      <c r="G22" s="231"/>
      <c r="H22" s="233"/>
      <c r="I22" s="229">
        <f>I23+I24+I25+I26</f>
        <v>208213296.368</v>
      </c>
    </row>
    <row r="23" spans="1:9" ht="15.75" x14ac:dyDescent="0.25">
      <c r="A23" s="225" t="s">
        <v>44</v>
      </c>
      <c r="B23" s="201" t="s">
        <v>45</v>
      </c>
      <c r="C23" s="201" t="s">
        <v>46</v>
      </c>
      <c r="D23" s="201" t="s">
        <v>47</v>
      </c>
      <c r="E23" s="200" t="s">
        <v>23</v>
      </c>
      <c r="F23" s="201">
        <v>111</v>
      </c>
      <c r="G23" s="201">
        <v>211</v>
      </c>
      <c r="H23" s="202"/>
      <c r="I23" s="203">
        <v>152631560</v>
      </c>
    </row>
    <row r="24" spans="1:9" ht="31.5" x14ac:dyDescent="0.25">
      <c r="A24" s="226" t="s">
        <v>48</v>
      </c>
      <c r="B24" s="201" t="s">
        <v>45</v>
      </c>
      <c r="C24" s="201" t="s">
        <v>46</v>
      </c>
      <c r="D24" s="201" t="s">
        <v>47</v>
      </c>
      <c r="E24" s="200" t="s">
        <v>23</v>
      </c>
      <c r="F24" s="201" t="s">
        <v>49</v>
      </c>
      <c r="G24" s="201" t="s">
        <v>50</v>
      </c>
      <c r="H24" s="202"/>
      <c r="I24" s="203">
        <v>1000000</v>
      </c>
    </row>
    <row r="25" spans="1:9" ht="15.75" x14ac:dyDescent="0.25">
      <c r="A25" s="227" t="s">
        <v>51</v>
      </c>
      <c r="B25" s="201" t="s">
        <v>45</v>
      </c>
      <c r="C25" s="201" t="s">
        <v>46</v>
      </c>
      <c r="D25" s="201" t="s">
        <v>47</v>
      </c>
      <c r="E25" s="200" t="s">
        <v>23</v>
      </c>
      <c r="F25" s="201"/>
      <c r="G25" s="201"/>
      <c r="H25" s="202"/>
      <c r="I25" s="203">
        <v>8364900</v>
      </c>
    </row>
    <row r="26" spans="1:9" ht="15.75" x14ac:dyDescent="0.25">
      <c r="A26" s="225" t="s">
        <v>52</v>
      </c>
      <c r="B26" s="201" t="s">
        <v>45</v>
      </c>
      <c r="C26" s="201" t="s">
        <v>46</v>
      </c>
      <c r="D26" s="201" t="s">
        <v>47</v>
      </c>
      <c r="E26" s="200" t="s">
        <v>23</v>
      </c>
      <c r="F26" s="201" t="s">
        <v>53</v>
      </c>
      <c r="G26" s="201" t="s">
        <v>54</v>
      </c>
      <c r="H26" s="202"/>
      <c r="I26" s="203">
        <f>I23*30.28/100</f>
        <v>46216836.368000001</v>
      </c>
    </row>
    <row r="27" spans="1:9" s="223" customFormat="1" ht="31.5" x14ac:dyDescent="0.25">
      <c r="A27" s="234" t="s">
        <v>494</v>
      </c>
      <c r="B27" s="235"/>
      <c r="C27" s="221"/>
      <c r="D27" s="221"/>
      <c r="E27" s="157"/>
      <c r="F27" s="221">
        <v>200</v>
      </c>
      <c r="G27" s="221"/>
      <c r="H27" s="236"/>
      <c r="I27" s="26">
        <f>I28+I33+I35</f>
        <v>51645487</v>
      </c>
    </row>
    <row r="28" spans="1:9" s="223" customFormat="1" ht="31.5" x14ac:dyDescent="0.25">
      <c r="A28" s="237" t="s">
        <v>495</v>
      </c>
      <c r="B28" s="235"/>
      <c r="C28" s="221"/>
      <c r="D28" s="221"/>
      <c r="E28" s="157"/>
      <c r="F28" s="221"/>
      <c r="G28" s="221"/>
      <c r="H28" s="236"/>
      <c r="I28" s="26">
        <f>I29+I30+I31+I32</f>
        <v>3424010</v>
      </c>
    </row>
    <row r="29" spans="1:9" ht="15.75" x14ac:dyDescent="0.25">
      <c r="A29" s="208" t="s">
        <v>24</v>
      </c>
      <c r="B29" s="201" t="s">
        <v>45</v>
      </c>
      <c r="C29" s="201" t="s">
        <v>46</v>
      </c>
      <c r="D29" s="201" t="s">
        <v>47</v>
      </c>
      <c r="E29" s="200" t="s">
        <v>23</v>
      </c>
      <c r="F29" s="183" t="s">
        <v>25</v>
      </c>
      <c r="G29" s="35" t="s">
        <v>55</v>
      </c>
      <c r="H29" s="18"/>
      <c r="I29" s="25">
        <f>'242'!G19</f>
        <v>900000</v>
      </c>
    </row>
    <row r="30" spans="1:9" ht="15.75" x14ac:dyDescent="0.25">
      <c r="A30" s="208" t="s">
        <v>26</v>
      </c>
      <c r="B30" s="201" t="s">
        <v>45</v>
      </c>
      <c r="C30" s="201" t="s">
        <v>46</v>
      </c>
      <c r="D30" s="201" t="s">
        <v>47</v>
      </c>
      <c r="E30" s="200" t="s">
        <v>23</v>
      </c>
      <c r="F30" s="19"/>
      <c r="G30" s="19" t="s">
        <v>56</v>
      </c>
      <c r="H30" s="18"/>
      <c r="I30" s="25">
        <v>556000</v>
      </c>
    </row>
    <row r="31" spans="1:9" ht="15.75" x14ac:dyDescent="0.25">
      <c r="A31" s="208" t="s">
        <v>486</v>
      </c>
      <c r="B31" s="201" t="s">
        <v>45</v>
      </c>
      <c r="C31" s="201" t="s">
        <v>46</v>
      </c>
      <c r="D31" s="201" t="s">
        <v>47</v>
      </c>
      <c r="E31" s="200" t="s">
        <v>23</v>
      </c>
      <c r="F31" s="19"/>
      <c r="G31" s="19" t="s">
        <v>57</v>
      </c>
      <c r="H31" s="18"/>
      <c r="I31" s="25">
        <v>1768010</v>
      </c>
    </row>
    <row r="32" spans="1:9" ht="15.75" x14ac:dyDescent="0.25">
      <c r="A32" s="208" t="s">
        <v>30</v>
      </c>
      <c r="B32" s="201" t="s">
        <v>45</v>
      </c>
      <c r="C32" s="201" t="s">
        <v>46</v>
      </c>
      <c r="D32" s="201" t="s">
        <v>47</v>
      </c>
      <c r="E32" s="200" t="s">
        <v>23</v>
      </c>
      <c r="F32" s="19"/>
      <c r="G32" s="19" t="s">
        <v>58</v>
      </c>
      <c r="H32" s="18"/>
      <c r="I32" s="25" t="s">
        <v>59</v>
      </c>
    </row>
    <row r="33" spans="1:10" ht="47.25" x14ac:dyDescent="0.25">
      <c r="A33" s="239" t="s">
        <v>497</v>
      </c>
      <c r="B33" s="201"/>
      <c r="C33" s="201"/>
      <c r="D33" s="201"/>
      <c r="E33" s="200"/>
      <c r="F33" s="19"/>
      <c r="G33" s="19"/>
      <c r="H33" s="18"/>
      <c r="I33" s="26">
        <f>I34</f>
        <v>2800000</v>
      </c>
    </row>
    <row r="34" spans="1:10" ht="15.75" x14ac:dyDescent="0.25">
      <c r="A34" s="208" t="s">
        <v>487</v>
      </c>
      <c r="B34" s="201" t="s">
        <v>45</v>
      </c>
      <c r="C34" s="201" t="s">
        <v>46</v>
      </c>
      <c r="D34" s="201" t="s">
        <v>47</v>
      </c>
      <c r="E34" s="200" t="s">
        <v>23</v>
      </c>
      <c r="F34" s="183" t="s">
        <v>28</v>
      </c>
      <c r="G34" s="19">
        <v>225</v>
      </c>
      <c r="H34" s="18"/>
      <c r="I34" s="25">
        <v>2800000</v>
      </c>
    </row>
    <row r="35" spans="1:10" ht="31.5" x14ac:dyDescent="0.25">
      <c r="A35" s="238" t="s">
        <v>496</v>
      </c>
      <c r="B35" s="201"/>
      <c r="C35" s="201"/>
      <c r="D35" s="201"/>
      <c r="E35" s="200"/>
      <c r="F35" s="183"/>
      <c r="G35" s="19"/>
      <c r="H35" s="18"/>
      <c r="I35" s="26">
        <f>I36+I37+I38+I39+I40+I41</f>
        <v>45421477</v>
      </c>
    </row>
    <row r="36" spans="1:10" ht="15.75" x14ac:dyDescent="0.25">
      <c r="A36" s="209" t="s">
        <v>60</v>
      </c>
      <c r="B36" s="201" t="s">
        <v>45</v>
      </c>
      <c r="C36" s="201" t="s">
        <v>46</v>
      </c>
      <c r="D36" s="201" t="s">
        <v>47</v>
      </c>
      <c r="E36" s="200" t="s">
        <v>23</v>
      </c>
      <c r="F36" s="19" t="s">
        <v>61</v>
      </c>
      <c r="G36" s="19" t="s">
        <v>62</v>
      </c>
      <c r="H36" s="18"/>
      <c r="I36" s="25">
        <v>2100000</v>
      </c>
    </row>
    <row r="37" spans="1:10" ht="31.5" x14ac:dyDescent="0.25">
      <c r="A37" s="208" t="s">
        <v>491</v>
      </c>
      <c r="B37" s="201" t="s">
        <v>45</v>
      </c>
      <c r="C37" s="201" t="s">
        <v>46</v>
      </c>
      <c r="D37" s="201" t="s">
        <v>47</v>
      </c>
      <c r="E37" s="200" t="s">
        <v>23</v>
      </c>
      <c r="F37" s="19"/>
      <c r="G37" s="19" t="s">
        <v>63</v>
      </c>
      <c r="H37" s="18"/>
      <c r="I37" s="25">
        <v>1000000</v>
      </c>
    </row>
    <row r="38" spans="1:10" ht="15.75" x14ac:dyDescent="0.25">
      <c r="A38" s="208" t="s">
        <v>487</v>
      </c>
      <c r="B38" s="201" t="s">
        <v>45</v>
      </c>
      <c r="C38" s="201" t="s">
        <v>46</v>
      </c>
      <c r="D38" s="201" t="s">
        <v>47</v>
      </c>
      <c r="E38" s="200" t="s">
        <v>23</v>
      </c>
      <c r="F38" s="17"/>
      <c r="G38" s="19" t="s">
        <v>64</v>
      </c>
      <c r="H38" s="18"/>
      <c r="I38" s="25">
        <v>630000</v>
      </c>
      <c r="J38" s="46"/>
    </row>
    <row r="39" spans="1:10" ht="15.75" x14ac:dyDescent="0.25">
      <c r="A39" s="209" t="s">
        <v>484</v>
      </c>
      <c r="B39" s="201" t="s">
        <v>45</v>
      </c>
      <c r="C39" s="201" t="s">
        <v>46</v>
      </c>
      <c r="D39" s="201" t="s">
        <v>47</v>
      </c>
      <c r="E39" s="200" t="s">
        <v>23</v>
      </c>
      <c r="F39" s="17"/>
      <c r="G39" s="19" t="s">
        <v>56</v>
      </c>
      <c r="H39" s="18"/>
      <c r="I39" s="25">
        <v>2200000</v>
      </c>
      <c r="J39" s="46"/>
    </row>
    <row r="40" spans="1:10" ht="15.75" x14ac:dyDescent="0.25">
      <c r="A40" s="209" t="s">
        <v>485</v>
      </c>
      <c r="B40" s="201" t="s">
        <v>45</v>
      </c>
      <c r="C40" s="201" t="s">
        <v>46</v>
      </c>
      <c r="D40" s="201" t="s">
        <v>47</v>
      </c>
      <c r="E40" s="200" t="s">
        <v>23</v>
      </c>
      <c r="F40" s="19"/>
      <c r="G40" s="19" t="s">
        <v>57</v>
      </c>
      <c r="H40" s="18"/>
      <c r="I40" s="25">
        <v>31247500</v>
      </c>
      <c r="J40" s="46"/>
    </row>
    <row r="41" spans="1:10" ht="15.75" x14ac:dyDescent="0.25">
      <c r="A41" s="208" t="s">
        <v>30</v>
      </c>
      <c r="B41" s="201" t="s">
        <v>45</v>
      </c>
      <c r="C41" s="201" t="s">
        <v>46</v>
      </c>
      <c r="D41" s="201" t="s">
        <v>47</v>
      </c>
      <c r="E41" s="200" t="s">
        <v>23</v>
      </c>
      <c r="F41" s="19"/>
      <c r="G41" s="19" t="s">
        <v>58</v>
      </c>
      <c r="H41" s="18"/>
      <c r="I41" s="25">
        <v>8243977</v>
      </c>
      <c r="J41" s="46"/>
    </row>
    <row r="42" spans="1:10" s="223" customFormat="1" ht="31.5" x14ac:dyDescent="0.25">
      <c r="A42" s="224" t="s">
        <v>498</v>
      </c>
      <c r="B42" s="219"/>
      <c r="C42" s="219"/>
      <c r="D42" s="219"/>
      <c r="E42" s="220"/>
      <c r="F42" s="221">
        <v>800</v>
      </c>
      <c r="G42" s="221"/>
      <c r="H42" s="222"/>
      <c r="I42" s="26">
        <f>I43+I44+I45</f>
        <v>4658000</v>
      </c>
      <c r="J42" s="240"/>
    </row>
    <row r="43" spans="1:10" ht="15.75" x14ac:dyDescent="0.25">
      <c r="A43" s="207" t="s">
        <v>68</v>
      </c>
      <c r="B43" s="201" t="s">
        <v>45</v>
      </c>
      <c r="C43" s="201" t="s">
        <v>46</v>
      </c>
      <c r="D43" s="201" t="s">
        <v>47</v>
      </c>
      <c r="E43" s="200" t="s">
        <v>23</v>
      </c>
      <c r="F43" s="19" t="s">
        <v>69</v>
      </c>
      <c r="G43" s="19" t="s">
        <v>70</v>
      </c>
      <c r="H43" s="18"/>
      <c r="I43" s="25">
        <v>4364000</v>
      </c>
    </row>
    <row r="44" spans="1:10" ht="15.75" x14ac:dyDescent="0.25">
      <c r="A44" s="207" t="s">
        <v>71</v>
      </c>
      <c r="B44" s="201" t="s">
        <v>45</v>
      </c>
      <c r="C44" s="201" t="s">
        <v>46</v>
      </c>
      <c r="D44" s="201" t="s">
        <v>47</v>
      </c>
      <c r="E44" s="200" t="s">
        <v>23</v>
      </c>
      <c r="F44" s="19" t="s">
        <v>72</v>
      </c>
      <c r="G44" s="19" t="s">
        <v>70</v>
      </c>
      <c r="H44" s="18"/>
      <c r="I44" s="25">
        <v>84000</v>
      </c>
    </row>
    <row r="45" spans="1:10" ht="15.75" x14ac:dyDescent="0.25">
      <c r="A45" s="207" t="s">
        <v>73</v>
      </c>
      <c r="B45" s="201" t="s">
        <v>45</v>
      </c>
      <c r="C45" s="201" t="s">
        <v>46</v>
      </c>
      <c r="D45" s="201" t="s">
        <v>47</v>
      </c>
      <c r="E45" s="200" t="s">
        <v>23</v>
      </c>
      <c r="F45" s="19" t="s">
        <v>74</v>
      </c>
      <c r="G45" s="19" t="s">
        <v>70</v>
      </c>
      <c r="H45" s="18"/>
      <c r="I45" s="25">
        <v>210000</v>
      </c>
    </row>
    <row r="46" spans="1:10" s="223" customFormat="1" ht="31.5" x14ac:dyDescent="0.25">
      <c r="A46" s="224" t="s">
        <v>501</v>
      </c>
      <c r="B46" s="19" t="s">
        <v>45</v>
      </c>
      <c r="C46" s="19" t="s">
        <v>46</v>
      </c>
      <c r="D46" s="19" t="s">
        <v>47</v>
      </c>
      <c r="E46" s="183" t="s">
        <v>499</v>
      </c>
      <c r="F46" s="221"/>
      <c r="G46" s="221">
        <v>225</v>
      </c>
      <c r="H46" s="222"/>
      <c r="I46" s="26" t="s">
        <v>76</v>
      </c>
    </row>
    <row r="47" spans="1:10" ht="15.75" x14ac:dyDescent="0.25">
      <c r="A47" s="224" t="s">
        <v>500</v>
      </c>
      <c r="B47" s="19" t="s">
        <v>45</v>
      </c>
      <c r="C47" s="19" t="s">
        <v>46</v>
      </c>
      <c r="D47" s="19" t="s">
        <v>47</v>
      </c>
      <c r="E47" s="35" t="s">
        <v>31</v>
      </c>
      <c r="F47" s="221" t="s">
        <v>492</v>
      </c>
      <c r="G47" s="19"/>
      <c r="H47" s="20"/>
      <c r="I47" s="26">
        <v>4553000</v>
      </c>
    </row>
    <row r="48" spans="1:10" ht="15.75" x14ac:dyDescent="0.25">
      <c r="A48" s="228" t="s">
        <v>79</v>
      </c>
      <c r="B48" s="19"/>
      <c r="C48" s="19"/>
      <c r="D48" s="19"/>
      <c r="E48" s="35"/>
      <c r="F48" s="19"/>
      <c r="G48" s="21"/>
      <c r="H48" s="22"/>
      <c r="I48" s="79">
        <f>I22+I27+I42+I46+I47</f>
        <v>477069783.36800003</v>
      </c>
    </row>
    <row r="49" spans="1:9" x14ac:dyDescent="0.25">
      <c r="A49" s="74"/>
      <c r="B49" s="184"/>
      <c r="C49" s="184"/>
      <c r="D49" s="184"/>
      <c r="E49" s="186"/>
      <c r="F49" s="12"/>
      <c r="G49" s="12"/>
      <c r="H49" s="12"/>
      <c r="I49" s="56"/>
    </row>
    <row r="50" spans="1:9" x14ac:dyDescent="0.25">
      <c r="A50" s="210" t="s">
        <v>32</v>
      </c>
      <c r="B50" s="317" t="s">
        <v>482</v>
      </c>
      <c r="C50" s="317"/>
      <c r="D50" s="317"/>
      <c r="E50" s="10"/>
      <c r="F50" s="38"/>
      <c r="G50" s="314" t="s">
        <v>77</v>
      </c>
      <c r="H50" s="314"/>
      <c r="I50" s="57"/>
    </row>
    <row r="51" spans="1:9" x14ac:dyDescent="0.25">
      <c r="A51" s="210" t="s">
        <v>33</v>
      </c>
      <c r="B51" s="315" t="s">
        <v>34</v>
      </c>
      <c r="C51" s="315"/>
      <c r="D51" s="38"/>
      <c r="E51" s="51" t="s">
        <v>7</v>
      </c>
      <c r="F51" s="38"/>
      <c r="G51" s="316" t="s">
        <v>78</v>
      </c>
      <c r="H51" s="316"/>
      <c r="I51" s="57"/>
    </row>
    <row r="52" spans="1:9" x14ac:dyDescent="0.25">
      <c r="A52" s="211"/>
      <c r="B52" s="39"/>
      <c r="C52" s="39"/>
      <c r="D52" s="39"/>
      <c r="E52" s="51"/>
      <c r="F52" s="39"/>
      <c r="G52" s="39"/>
      <c r="H52" s="8"/>
      <c r="I52" s="78"/>
    </row>
    <row r="53" spans="1:9" x14ac:dyDescent="0.25">
      <c r="A53" s="210" t="s">
        <v>35</v>
      </c>
      <c r="B53" s="218" t="s">
        <v>483</v>
      </c>
      <c r="C53" s="181"/>
      <c r="D53" s="181"/>
      <c r="E53" s="10"/>
      <c r="F53" s="38"/>
      <c r="G53" s="314" t="s">
        <v>36</v>
      </c>
      <c r="H53" s="314"/>
      <c r="I53" s="57"/>
    </row>
    <row r="54" spans="1:9" x14ac:dyDescent="0.25">
      <c r="A54" s="212" t="s">
        <v>41</v>
      </c>
      <c r="B54" s="315" t="s">
        <v>34</v>
      </c>
      <c r="C54" s="315"/>
      <c r="D54" s="39"/>
      <c r="E54" s="51" t="s">
        <v>7</v>
      </c>
      <c r="F54" s="39"/>
      <c r="G54" s="316" t="s">
        <v>78</v>
      </c>
      <c r="H54" s="316"/>
      <c r="I54" s="78"/>
    </row>
    <row r="55" spans="1:9" x14ac:dyDescent="0.25">
      <c r="B55" s="184"/>
      <c r="C55" s="217"/>
      <c r="D55" s="184"/>
      <c r="E55" s="186"/>
      <c r="F55" s="12"/>
      <c r="G55" s="12"/>
      <c r="H55" s="132"/>
      <c r="I55" s="58"/>
    </row>
    <row r="56" spans="1:9" x14ac:dyDescent="0.25">
      <c r="A56" s="214"/>
      <c r="B56" s="33"/>
      <c r="C56" s="33"/>
      <c r="D56" s="33"/>
      <c r="E56" s="50"/>
      <c r="F56" s="33"/>
      <c r="G56" s="33"/>
      <c r="H56" s="2"/>
      <c r="I56" s="59"/>
    </row>
  </sheetData>
  <mergeCells count="32">
    <mergeCell ref="G50:H50"/>
    <mergeCell ref="B51:C51"/>
    <mergeCell ref="G51:H51"/>
    <mergeCell ref="G53:H53"/>
    <mergeCell ref="B54:C54"/>
    <mergeCell ref="G54:H54"/>
    <mergeCell ref="B50:D50"/>
    <mergeCell ref="B16:I16"/>
    <mergeCell ref="B17:I17"/>
    <mergeCell ref="B18:I18"/>
    <mergeCell ref="A19:A20"/>
    <mergeCell ref="B19:B20"/>
    <mergeCell ref="C19:H19"/>
    <mergeCell ref="I19:I20"/>
    <mergeCell ref="B15:I15"/>
    <mergeCell ref="A5:B5"/>
    <mergeCell ref="E5:I5"/>
    <mergeCell ref="E6:I6"/>
    <mergeCell ref="A7:B7"/>
    <mergeCell ref="E8:F8"/>
    <mergeCell ref="E9:I9"/>
    <mergeCell ref="A11:I11"/>
    <mergeCell ref="F12:G12"/>
    <mergeCell ref="H12:I12"/>
    <mergeCell ref="B13:I13"/>
    <mergeCell ref="B14:I14"/>
    <mergeCell ref="E4:I4"/>
    <mergeCell ref="E1:I1"/>
    <mergeCell ref="A2:B2"/>
    <mergeCell ref="E2:I2"/>
    <mergeCell ref="A3:B3"/>
    <mergeCell ref="E3:I3"/>
  </mergeCells>
  <printOptions horizontalCentered="1" verticalCentered="1"/>
  <pageMargins left="0.70866141732283472" right="0" top="0" bottom="0" header="0.31496062992125984" footer="0.31496062992125984"/>
  <pageSetup paperSize="9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opLeftCell="A28" workbookViewId="0">
      <selection sqref="A1:F55"/>
    </sheetView>
  </sheetViews>
  <sheetFormatPr defaultRowHeight="15" x14ac:dyDescent="0.25"/>
  <cols>
    <col min="2" max="2" width="49.140625" customWidth="1"/>
    <col min="5" max="5" width="13.140625" style="129" customWidth="1"/>
    <col min="6" max="6" width="12.28515625" style="129" customWidth="1"/>
    <col min="7" max="9" width="15.42578125" customWidth="1"/>
  </cols>
  <sheetData>
    <row r="1" spans="1:6" ht="15.75" x14ac:dyDescent="0.25">
      <c r="A1" s="323" t="s">
        <v>273</v>
      </c>
      <c r="B1" s="323"/>
      <c r="C1" s="323"/>
      <c r="D1" s="323"/>
      <c r="E1" s="323"/>
      <c r="F1" s="323"/>
    </row>
    <row r="2" spans="1:6" ht="63" x14ac:dyDescent="0.25">
      <c r="A2" s="66" t="s">
        <v>132</v>
      </c>
      <c r="B2" s="66" t="s">
        <v>274</v>
      </c>
      <c r="C2" s="66" t="s">
        <v>198</v>
      </c>
      <c r="D2" s="66" t="s">
        <v>275</v>
      </c>
      <c r="E2" s="68" t="s">
        <v>276</v>
      </c>
      <c r="F2" s="68" t="s">
        <v>277</v>
      </c>
    </row>
    <row r="3" spans="1:6" x14ac:dyDescent="0.25">
      <c r="A3" s="70">
        <v>1</v>
      </c>
      <c r="B3" s="133">
        <f>A3+1</f>
        <v>2</v>
      </c>
      <c r="C3" s="133">
        <f>B3+1</f>
        <v>3</v>
      </c>
      <c r="D3" s="133">
        <f>C3+1</f>
        <v>4</v>
      </c>
      <c r="E3" s="133">
        <f>D3+1</f>
        <v>5</v>
      </c>
      <c r="F3" s="133">
        <f>E3+1</f>
        <v>6</v>
      </c>
    </row>
    <row r="4" spans="1:6" ht="15.75" x14ac:dyDescent="0.25">
      <c r="A4" s="134"/>
      <c r="B4" s="134" t="s">
        <v>278</v>
      </c>
      <c r="C4" s="134"/>
      <c r="D4" s="134"/>
      <c r="E4" s="135"/>
      <c r="F4" s="136">
        <f>SUM(F5:F9)</f>
        <v>17599.999</v>
      </c>
    </row>
    <row r="5" spans="1:6" ht="15.75" x14ac:dyDescent="0.25">
      <c r="A5" s="137">
        <v>1</v>
      </c>
      <c r="B5" s="138" t="s">
        <v>279</v>
      </c>
      <c r="C5" s="137" t="s">
        <v>246</v>
      </c>
      <c r="D5" s="137">
        <v>1</v>
      </c>
      <c r="E5" s="139">
        <v>5000</v>
      </c>
      <c r="F5" s="140">
        <f>D5*E5</f>
        <v>5000</v>
      </c>
    </row>
    <row r="6" spans="1:6" ht="15.75" x14ac:dyDescent="0.25">
      <c r="A6" s="137">
        <f>A5+1</f>
        <v>2</v>
      </c>
      <c r="B6" s="141" t="s">
        <v>65</v>
      </c>
      <c r="C6" s="137" t="s">
        <v>246</v>
      </c>
      <c r="D6" s="137">
        <v>2</v>
      </c>
      <c r="E6" s="142">
        <v>550</v>
      </c>
      <c r="F6" s="140">
        <f>D6*E6</f>
        <v>1100</v>
      </c>
    </row>
    <row r="7" spans="1:6" ht="15.75" x14ac:dyDescent="0.25">
      <c r="A7" s="137">
        <f>A6+1</f>
        <v>3</v>
      </c>
      <c r="B7" s="141" t="s">
        <v>66</v>
      </c>
      <c r="C7" s="137" t="s">
        <v>246</v>
      </c>
      <c r="D7" s="137">
        <v>3</v>
      </c>
      <c r="E7" s="142">
        <v>1333.3330000000001</v>
      </c>
      <c r="F7" s="140">
        <f>D7*E7</f>
        <v>3999.9990000000003</v>
      </c>
    </row>
    <row r="8" spans="1:6" ht="15.75" x14ac:dyDescent="0.25">
      <c r="A8" s="137">
        <f>A7+1</f>
        <v>4</v>
      </c>
      <c r="B8" s="141" t="s">
        <v>67</v>
      </c>
      <c r="C8" s="137" t="s">
        <v>246</v>
      </c>
      <c r="D8" s="137">
        <v>2</v>
      </c>
      <c r="E8" s="142">
        <v>1000</v>
      </c>
      <c r="F8" s="140">
        <f>D8*E8</f>
        <v>2000</v>
      </c>
    </row>
    <row r="9" spans="1:6" ht="31.5" x14ac:dyDescent="0.25">
      <c r="A9" s="137">
        <f>A8+1</f>
        <v>5</v>
      </c>
      <c r="B9" s="138" t="s">
        <v>29</v>
      </c>
      <c r="C9" s="137" t="s">
        <v>246</v>
      </c>
      <c r="D9" s="137">
        <v>5</v>
      </c>
      <c r="E9" s="139">
        <v>1100</v>
      </c>
      <c r="F9" s="140">
        <f>D9*E9</f>
        <v>5500</v>
      </c>
    </row>
    <row r="10" spans="1:6" ht="15.75" x14ac:dyDescent="0.25">
      <c r="A10" s="143"/>
      <c r="B10" s="144" t="s">
        <v>281</v>
      </c>
      <c r="C10" s="137"/>
      <c r="D10" s="137"/>
      <c r="E10" s="139"/>
      <c r="F10" s="136">
        <f>SUM(F11:F15)</f>
        <v>5517.5039999999999</v>
      </c>
    </row>
    <row r="11" spans="1:6" ht="15.75" x14ac:dyDescent="0.25">
      <c r="A11" s="143">
        <f>A9+1</f>
        <v>6</v>
      </c>
      <c r="B11" s="138" t="s">
        <v>324</v>
      </c>
      <c r="C11" s="137" t="s">
        <v>246</v>
      </c>
      <c r="D11" s="137">
        <v>15</v>
      </c>
      <c r="E11" s="139">
        <v>5</v>
      </c>
      <c r="F11" s="140">
        <f>D11*E11</f>
        <v>75</v>
      </c>
    </row>
    <row r="12" spans="1:6" ht="15.75" x14ac:dyDescent="0.25">
      <c r="A12" s="143">
        <f>A11+1</f>
        <v>7</v>
      </c>
      <c r="B12" s="138" t="s">
        <v>323</v>
      </c>
      <c r="C12" s="137" t="s">
        <v>246</v>
      </c>
      <c r="D12" s="137">
        <v>15</v>
      </c>
      <c r="E12" s="139">
        <v>4</v>
      </c>
      <c r="F12" s="140">
        <f>D12*E12</f>
        <v>60</v>
      </c>
    </row>
    <row r="13" spans="1:6" ht="15.75" x14ac:dyDescent="0.25">
      <c r="A13" s="143">
        <f>A12+1</f>
        <v>8</v>
      </c>
      <c r="B13" s="138" t="s">
        <v>282</v>
      </c>
      <c r="C13" s="137" t="s">
        <v>246</v>
      </c>
      <c r="D13" s="137">
        <v>8</v>
      </c>
      <c r="E13" s="139">
        <v>29.062999999999999</v>
      </c>
      <c r="F13" s="140">
        <f>D13*E13</f>
        <v>232.50399999999999</v>
      </c>
    </row>
    <row r="14" spans="1:6" ht="15.75" x14ac:dyDescent="0.25">
      <c r="A14" s="143">
        <f>A13+1</f>
        <v>9</v>
      </c>
      <c r="B14" s="138" t="s">
        <v>283</v>
      </c>
      <c r="C14" s="137" t="s">
        <v>246</v>
      </c>
      <c r="D14" s="137">
        <v>15</v>
      </c>
      <c r="E14" s="139">
        <v>10</v>
      </c>
      <c r="F14" s="140">
        <f>D14*E14</f>
        <v>150</v>
      </c>
    </row>
    <row r="15" spans="1:6" ht="15.75" x14ac:dyDescent="0.25">
      <c r="A15" s="143">
        <f>A14+1</f>
        <v>10</v>
      </c>
      <c r="B15" s="144" t="s">
        <v>284</v>
      </c>
      <c r="C15" s="137" t="s">
        <v>280</v>
      </c>
      <c r="D15" s="137">
        <v>5</v>
      </c>
      <c r="E15" s="139">
        <v>1000</v>
      </c>
      <c r="F15" s="140">
        <f>D15*E15</f>
        <v>5000</v>
      </c>
    </row>
    <row r="16" spans="1:6" ht="15.75" x14ac:dyDescent="0.25">
      <c r="A16" s="143"/>
      <c r="B16" s="134" t="s">
        <v>285</v>
      </c>
      <c r="C16" s="137"/>
      <c r="D16" s="137"/>
      <c r="E16" s="139"/>
      <c r="F16" s="145"/>
    </row>
    <row r="17" spans="1:6" ht="15.75" x14ac:dyDescent="0.25">
      <c r="A17" s="143">
        <f>A15+1</f>
        <v>11</v>
      </c>
      <c r="B17" s="138" t="s">
        <v>286</v>
      </c>
      <c r="C17" s="137" t="s">
        <v>280</v>
      </c>
      <c r="D17" s="137">
        <v>15</v>
      </c>
      <c r="E17" s="139">
        <v>18.666499999999999</v>
      </c>
      <c r="F17" s="136">
        <f>D17*E17</f>
        <v>279.9975</v>
      </c>
    </row>
    <row r="18" spans="1:6" ht="15.75" x14ac:dyDescent="0.25">
      <c r="A18" s="143"/>
      <c r="B18" s="134" t="s">
        <v>287</v>
      </c>
      <c r="C18" s="137"/>
      <c r="D18" s="137"/>
      <c r="E18" s="139"/>
      <c r="F18" s="136">
        <f>SUM(F19:F41)</f>
        <v>1199.99</v>
      </c>
    </row>
    <row r="19" spans="1:6" ht="15.75" x14ac:dyDescent="0.25">
      <c r="A19" s="143">
        <f>A17+1</f>
        <v>12</v>
      </c>
      <c r="B19" s="138" t="s">
        <v>288</v>
      </c>
      <c r="C19" s="137" t="s">
        <v>246</v>
      </c>
      <c r="D19" s="137">
        <v>10</v>
      </c>
      <c r="E19" s="139">
        <v>2.4</v>
      </c>
      <c r="F19" s="140">
        <f t="shared" ref="F19:F41" si="0">D19*E19</f>
        <v>24</v>
      </c>
    </row>
    <row r="20" spans="1:6" ht="15.75" x14ac:dyDescent="0.25">
      <c r="A20" s="143">
        <f t="shared" ref="A20:A41" si="1">A19+1</f>
        <v>13</v>
      </c>
      <c r="B20" s="138" t="s">
        <v>289</v>
      </c>
      <c r="C20" s="137" t="s">
        <v>246</v>
      </c>
      <c r="D20" s="137">
        <v>10</v>
      </c>
      <c r="E20" s="139">
        <v>2.5</v>
      </c>
      <c r="F20" s="140">
        <f t="shared" si="0"/>
        <v>25</v>
      </c>
    </row>
    <row r="21" spans="1:6" ht="15.75" x14ac:dyDescent="0.25">
      <c r="A21" s="143">
        <f t="shared" si="1"/>
        <v>14</v>
      </c>
      <c r="B21" s="138" t="s">
        <v>290</v>
      </c>
      <c r="C21" s="137" t="s">
        <v>246</v>
      </c>
      <c r="D21" s="137">
        <v>10</v>
      </c>
      <c r="E21" s="139">
        <v>2</v>
      </c>
      <c r="F21" s="140">
        <f t="shared" si="0"/>
        <v>20</v>
      </c>
    </row>
    <row r="22" spans="1:6" ht="15.75" x14ac:dyDescent="0.25">
      <c r="A22" s="143">
        <f t="shared" si="1"/>
        <v>15</v>
      </c>
      <c r="B22" s="138" t="s">
        <v>291</v>
      </c>
      <c r="C22" s="137" t="s">
        <v>246</v>
      </c>
      <c r="D22" s="137">
        <v>5</v>
      </c>
      <c r="E22" s="139">
        <v>2.16</v>
      </c>
      <c r="F22" s="140">
        <f t="shared" si="0"/>
        <v>10.8</v>
      </c>
    </row>
    <row r="23" spans="1:6" ht="15.75" x14ac:dyDescent="0.25">
      <c r="A23" s="143">
        <f t="shared" si="1"/>
        <v>16</v>
      </c>
      <c r="B23" s="138" t="s">
        <v>292</v>
      </c>
      <c r="C23" s="137" t="s">
        <v>246</v>
      </c>
      <c r="D23" s="137">
        <v>30</v>
      </c>
      <c r="E23" s="139">
        <v>3.5</v>
      </c>
      <c r="F23" s="140">
        <f t="shared" si="0"/>
        <v>105</v>
      </c>
    </row>
    <row r="24" spans="1:6" ht="15.75" x14ac:dyDescent="0.25">
      <c r="A24" s="143">
        <f t="shared" si="1"/>
        <v>17</v>
      </c>
      <c r="B24" s="138" t="s">
        <v>293</v>
      </c>
      <c r="C24" s="137" t="s">
        <v>246</v>
      </c>
      <c r="D24" s="137">
        <v>15</v>
      </c>
      <c r="E24" s="139">
        <v>2</v>
      </c>
      <c r="F24" s="140">
        <f t="shared" si="0"/>
        <v>30</v>
      </c>
    </row>
    <row r="25" spans="1:6" ht="15.75" x14ac:dyDescent="0.25">
      <c r="A25" s="143">
        <f t="shared" si="1"/>
        <v>18</v>
      </c>
      <c r="B25" s="138" t="s">
        <v>294</v>
      </c>
      <c r="C25" s="137" t="s">
        <v>246</v>
      </c>
      <c r="D25" s="137">
        <v>9</v>
      </c>
      <c r="E25" s="139">
        <v>0.9</v>
      </c>
      <c r="F25" s="140">
        <f t="shared" si="0"/>
        <v>8.1</v>
      </c>
    </row>
    <row r="26" spans="1:6" ht="15.75" x14ac:dyDescent="0.25">
      <c r="A26" s="143">
        <f t="shared" si="1"/>
        <v>19</v>
      </c>
      <c r="B26" s="138" t="s">
        <v>295</v>
      </c>
      <c r="C26" s="137" t="s">
        <v>246</v>
      </c>
      <c r="D26" s="137">
        <v>10</v>
      </c>
      <c r="E26" s="139">
        <v>0.9</v>
      </c>
      <c r="F26" s="140">
        <f t="shared" si="0"/>
        <v>9</v>
      </c>
    </row>
    <row r="27" spans="1:6" ht="31.5" x14ac:dyDescent="0.25">
      <c r="A27" s="143">
        <f t="shared" si="1"/>
        <v>20</v>
      </c>
      <c r="B27" s="138" t="s">
        <v>296</v>
      </c>
      <c r="C27" s="137" t="s">
        <v>280</v>
      </c>
      <c r="D27" s="137">
        <v>15</v>
      </c>
      <c r="E27" s="139">
        <v>4.7</v>
      </c>
      <c r="F27" s="140">
        <f t="shared" si="0"/>
        <v>70.5</v>
      </c>
    </row>
    <row r="28" spans="1:6" ht="15.75" x14ac:dyDescent="0.25">
      <c r="A28" s="143">
        <f t="shared" si="1"/>
        <v>21</v>
      </c>
      <c r="B28" s="138" t="s">
        <v>297</v>
      </c>
      <c r="C28" s="137" t="s">
        <v>246</v>
      </c>
      <c r="D28" s="137">
        <v>10</v>
      </c>
      <c r="E28" s="139">
        <v>5</v>
      </c>
      <c r="F28" s="140">
        <f t="shared" si="0"/>
        <v>50</v>
      </c>
    </row>
    <row r="29" spans="1:6" ht="15.75" x14ac:dyDescent="0.25">
      <c r="A29" s="143">
        <f t="shared" si="1"/>
        <v>22</v>
      </c>
      <c r="B29" s="138" t="s">
        <v>298</v>
      </c>
      <c r="C29" s="137" t="s">
        <v>299</v>
      </c>
      <c r="D29" s="137">
        <v>15</v>
      </c>
      <c r="E29" s="139">
        <v>9</v>
      </c>
      <c r="F29" s="140">
        <f t="shared" si="0"/>
        <v>135</v>
      </c>
    </row>
    <row r="30" spans="1:6" ht="15.75" x14ac:dyDescent="0.25">
      <c r="A30" s="143">
        <f t="shared" si="1"/>
        <v>23</v>
      </c>
      <c r="B30" s="138" t="s">
        <v>300</v>
      </c>
      <c r="C30" s="137" t="s">
        <v>246</v>
      </c>
      <c r="D30" s="137">
        <v>5</v>
      </c>
      <c r="E30" s="139">
        <v>6</v>
      </c>
      <c r="F30" s="140">
        <f t="shared" si="0"/>
        <v>30</v>
      </c>
    </row>
    <row r="31" spans="1:6" ht="15.75" x14ac:dyDescent="0.25">
      <c r="A31" s="143">
        <f t="shared" si="1"/>
        <v>24</v>
      </c>
      <c r="B31" s="138" t="s">
        <v>301</v>
      </c>
      <c r="C31" s="137" t="s">
        <v>302</v>
      </c>
      <c r="D31" s="137">
        <v>1500</v>
      </c>
      <c r="E31" s="139">
        <v>0.1</v>
      </c>
      <c r="F31" s="140">
        <f t="shared" si="0"/>
        <v>150</v>
      </c>
    </row>
    <row r="32" spans="1:6" ht="15.75" x14ac:dyDescent="0.25">
      <c r="A32" s="143">
        <f t="shared" si="1"/>
        <v>25</v>
      </c>
      <c r="B32" s="138" t="s">
        <v>303</v>
      </c>
      <c r="C32" s="137" t="s">
        <v>246</v>
      </c>
      <c r="D32" s="137">
        <v>20</v>
      </c>
      <c r="E32" s="139">
        <v>2</v>
      </c>
      <c r="F32" s="140">
        <f t="shared" si="0"/>
        <v>40</v>
      </c>
    </row>
    <row r="33" spans="1:6" ht="15.75" x14ac:dyDescent="0.25">
      <c r="A33" s="143">
        <f t="shared" si="1"/>
        <v>26</v>
      </c>
      <c r="B33" s="138" t="s">
        <v>304</v>
      </c>
      <c r="C33" s="137" t="s">
        <v>302</v>
      </c>
      <c r="D33" s="137">
        <v>2500</v>
      </c>
      <c r="E33" s="139">
        <v>0.05</v>
      </c>
      <c r="F33" s="140">
        <f t="shared" si="0"/>
        <v>125</v>
      </c>
    </row>
    <row r="34" spans="1:6" ht="15.75" x14ac:dyDescent="0.25">
      <c r="A34" s="143">
        <f t="shared" si="1"/>
        <v>27</v>
      </c>
      <c r="B34" s="138" t="s">
        <v>305</v>
      </c>
      <c r="C34" s="137" t="s">
        <v>302</v>
      </c>
      <c r="D34" s="137">
        <v>1500</v>
      </c>
      <c r="E34" s="139">
        <v>0.1</v>
      </c>
      <c r="F34" s="140">
        <f t="shared" si="0"/>
        <v>150</v>
      </c>
    </row>
    <row r="35" spans="1:6" ht="15.75" x14ac:dyDescent="0.25">
      <c r="A35" s="143">
        <f t="shared" si="1"/>
        <v>28</v>
      </c>
      <c r="B35" s="138" t="s">
        <v>306</v>
      </c>
      <c r="C35" s="137" t="s">
        <v>246</v>
      </c>
      <c r="D35" s="137">
        <v>175</v>
      </c>
      <c r="E35" s="139">
        <v>0.3</v>
      </c>
      <c r="F35" s="140">
        <f t="shared" si="0"/>
        <v>52.5</v>
      </c>
    </row>
    <row r="36" spans="1:6" ht="47.25" x14ac:dyDescent="0.25">
      <c r="A36" s="143">
        <f t="shared" si="1"/>
        <v>29</v>
      </c>
      <c r="B36" s="138" t="s">
        <v>307</v>
      </c>
      <c r="C36" s="137" t="s">
        <v>246</v>
      </c>
      <c r="D36" s="137">
        <v>100</v>
      </c>
      <c r="E36" s="139">
        <v>0.2</v>
      </c>
      <c r="F36" s="140">
        <f t="shared" si="0"/>
        <v>20</v>
      </c>
    </row>
    <row r="37" spans="1:6" ht="15.75" x14ac:dyDescent="0.25">
      <c r="A37" s="143">
        <f t="shared" si="1"/>
        <v>30</v>
      </c>
      <c r="B37" s="138" t="s">
        <v>308</v>
      </c>
      <c r="C37" s="137" t="s">
        <v>246</v>
      </c>
      <c r="D37" s="137">
        <v>13</v>
      </c>
      <c r="E37" s="139">
        <v>7</v>
      </c>
      <c r="F37" s="140">
        <f t="shared" si="0"/>
        <v>91</v>
      </c>
    </row>
    <row r="38" spans="1:6" ht="15.75" x14ac:dyDescent="0.25">
      <c r="A38" s="143">
        <f t="shared" si="1"/>
        <v>31</v>
      </c>
      <c r="B38" s="138" t="s">
        <v>309</v>
      </c>
      <c r="C38" s="137" t="s">
        <v>246</v>
      </c>
      <c r="D38" s="137">
        <v>36</v>
      </c>
      <c r="E38" s="139">
        <v>0.59</v>
      </c>
      <c r="F38" s="140">
        <f t="shared" si="0"/>
        <v>21.24</v>
      </c>
    </row>
    <row r="39" spans="1:6" ht="15.75" x14ac:dyDescent="0.25">
      <c r="A39" s="143">
        <f t="shared" si="1"/>
        <v>32</v>
      </c>
      <c r="B39" s="138" t="s">
        <v>310</v>
      </c>
      <c r="C39" s="137" t="s">
        <v>246</v>
      </c>
      <c r="D39" s="137">
        <v>10</v>
      </c>
      <c r="E39" s="139">
        <v>1.59</v>
      </c>
      <c r="F39" s="140">
        <f t="shared" si="0"/>
        <v>15.9</v>
      </c>
    </row>
    <row r="40" spans="1:6" ht="15.75" x14ac:dyDescent="0.25">
      <c r="A40" s="143">
        <f t="shared" si="1"/>
        <v>33</v>
      </c>
      <c r="B40" s="138" t="s">
        <v>311</v>
      </c>
      <c r="C40" s="137" t="s">
        <v>246</v>
      </c>
      <c r="D40" s="137">
        <v>3</v>
      </c>
      <c r="E40" s="139">
        <v>2.7</v>
      </c>
      <c r="F40" s="140">
        <f t="shared" si="0"/>
        <v>8.1000000000000014</v>
      </c>
    </row>
    <row r="41" spans="1:6" ht="15.75" x14ac:dyDescent="0.25">
      <c r="A41" s="143">
        <f t="shared" si="1"/>
        <v>34</v>
      </c>
      <c r="B41" s="138" t="s">
        <v>312</v>
      </c>
      <c r="C41" s="137" t="s">
        <v>246</v>
      </c>
      <c r="D41" s="137">
        <v>3</v>
      </c>
      <c r="E41" s="139">
        <v>2.95</v>
      </c>
      <c r="F41" s="140">
        <f t="shared" si="0"/>
        <v>8.8500000000000014</v>
      </c>
    </row>
    <row r="42" spans="1:6" ht="15.75" x14ac:dyDescent="0.25">
      <c r="A42" s="143"/>
      <c r="B42" s="138"/>
      <c r="C42" s="137"/>
      <c r="D42" s="137"/>
      <c r="E42" s="139"/>
      <c r="F42" s="145"/>
    </row>
    <row r="43" spans="1:6" ht="15.75" x14ac:dyDescent="0.25">
      <c r="A43" s="146">
        <f>A41+1</f>
        <v>35</v>
      </c>
      <c r="B43" s="144" t="s">
        <v>313</v>
      </c>
      <c r="C43" s="134" t="s">
        <v>246</v>
      </c>
      <c r="D43" s="134">
        <v>60</v>
      </c>
      <c r="E43" s="135">
        <v>4.1666600000000003</v>
      </c>
      <c r="F43" s="136">
        <f>D43*E43</f>
        <v>249.99960000000002</v>
      </c>
    </row>
    <row r="44" spans="1:6" ht="31.5" x14ac:dyDescent="0.25">
      <c r="A44" s="143"/>
      <c r="B44" s="134" t="s">
        <v>315</v>
      </c>
      <c r="C44" s="137"/>
      <c r="D44" s="137"/>
      <c r="E44" s="139"/>
      <c r="F44" s="136">
        <f>SUM(F45:F47)</f>
        <v>4450</v>
      </c>
    </row>
    <row r="45" spans="1:6" ht="15.75" x14ac:dyDescent="0.25">
      <c r="A45" s="143">
        <f>A43+1</f>
        <v>36</v>
      </c>
      <c r="B45" s="138" t="s">
        <v>326</v>
      </c>
      <c r="C45" s="137" t="s">
        <v>280</v>
      </c>
      <c r="D45" s="137">
        <v>10</v>
      </c>
      <c r="E45" s="139">
        <v>160</v>
      </c>
      <c r="F45" s="140">
        <f>D45*E45</f>
        <v>1600</v>
      </c>
    </row>
    <row r="46" spans="1:6" ht="31.5" x14ac:dyDescent="0.25">
      <c r="A46" s="143">
        <f>A45+1</f>
        <v>37</v>
      </c>
      <c r="B46" s="138" t="s">
        <v>325</v>
      </c>
      <c r="C46" s="137" t="s">
        <v>280</v>
      </c>
      <c r="D46" s="137">
        <v>10</v>
      </c>
      <c r="E46" s="139">
        <v>75</v>
      </c>
      <c r="F46" s="140">
        <f>D46*E46</f>
        <v>750</v>
      </c>
    </row>
    <row r="47" spans="1:6" ht="31.5" x14ac:dyDescent="0.25">
      <c r="A47" s="143">
        <f>A46+1</f>
        <v>38</v>
      </c>
      <c r="B47" s="138" t="s">
        <v>316</v>
      </c>
      <c r="C47" s="137" t="s">
        <v>280</v>
      </c>
      <c r="D47" s="137">
        <v>6</v>
      </c>
      <c r="E47" s="139">
        <v>350</v>
      </c>
      <c r="F47" s="140">
        <f>D47*E47</f>
        <v>2100</v>
      </c>
    </row>
    <row r="48" spans="1:6" ht="15.75" x14ac:dyDescent="0.25">
      <c r="A48" s="143"/>
      <c r="B48" s="134" t="s">
        <v>317</v>
      </c>
      <c r="C48" s="137"/>
      <c r="D48" s="137"/>
      <c r="E48" s="139"/>
      <c r="F48" s="136">
        <f>SUM(F49:F53)</f>
        <v>1649.9949999999999</v>
      </c>
    </row>
    <row r="49" spans="1:6" ht="15.75" x14ac:dyDescent="0.25">
      <c r="A49" s="143">
        <f>A47+1</f>
        <v>39</v>
      </c>
      <c r="B49" s="138" t="s">
        <v>322</v>
      </c>
      <c r="C49" s="137" t="s">
        <v>246</v>
      </c>
      <c r="D49" s="137">
        <v>30</v>
      </c>
      <c r="E49" s="139">
        <v>15</v>
      </c>
      <c r="F49" s="140">
        <f>D49*E49</f>
        <v>450</v>
      </c>
    </row>
    <row r="50" spans="1:6" ht="15.75" x14ac:dyDescent="0.25">
      <c r="A50" s="143">
        <f>A49+1</f>
        <v>40</v>
      </c>
      <c r="B50" s="138" t="s">
        <v>318</v>
      </c>
      <c r="C50" s="137" t="s">
        <v>246</v>
      </c>
      <c r="D50" s="137">
        <v>250</v>
      </c>
      <c r="E50" s="139">
        <v>0.5</v>
      </c>
      <c r="F50" s="140">
        <f>D50*E50</f>
        <v>125</v>
      </c>
    </row>
    <row r="51" spans="1:6" ht="15.75" x14ac:dyDescent="0.25">
      <c r="A51" s="143">
        <f>A50+1</f>
        <v>41</v>
      </c>
      <c r="B51" s="138" t="s">
        <v>319</v>
      </c>
      <c r="C51" s="137" t="s">
        <v>246</v>
      </c>
      <c r="D51" s="137">
        <v>9</v>
      </c>
      <c r="E51" s="139">
        <v>55.555</v>
      </c>
      <c r="F51" s="140">
        <f>D51*E51</f>
        <v>499.995</v>
      </c>
    </row>
    <row r="52" spans="1:6" ht="15.75" x14ac:dyDescent="0.25">
      <c r="A52" s="143">
        <f>A51+1</f>
        <v>42</v>
      </c>
      <c r="B52" s="138" t="s">
        <v>320</v>
      </c>
      <c r="C52" s="137" t="s">
        <v>246</v>
      </c>
      <c r="D52" s="137">
        <v>25</v>
      </c>
      <c r="E52" s="139">
        <v>5</v>
      </c>
      <c r="F52" s="140">
        <f>D52*E52</f>
        <v>125</v>
      </c>
    </row>
    <row r="53" spans="1:6" ht="15.75" x14ac:dyDescent="0.25">
      <c r="A53" s="143">
        <f>A52+1</f>
        <v>43</v>
      </c>
      <c r="B53" s="138" t="s">
        <v>321</v>
      </c>
      <c r="C53" s="137" t="s">
        <v>246</v>
      </c>
      <c r="D53" s="137">
        <v>25</v>
      </c>
      <c r="E53" s="139">
        <v>18</v>
      </c>
      <c r="F53" s="140">
        <f>D53*E53</f>
        <v>450</v>
      </c>
    </row>
    <row r="54" spans="1:6" ht="15.75" x14ac:dyDescent="0.25">
      <c r="A54" s="134"/>
      <c r="B54" s="144" t="s">
        <v>75</v>
      </c>
      <c r="C54" s="137"/>
      <c r="D54" s="137"/>
      <c r="E54" s="140"/>
      <c r="F54" s="147">
        <f>F4+F10+F17+F18+F43+F44+F48</f>
        <v>30947.485100000002</v>
      </c>
    </row>
    <row r="55" spans="1:6" ht="15.75" x14ac:dyDescent="0.25">
      <c r="A55" s="148">
        <f>A53+1</f>
        <v>44</v>
      </c>
      <c r="B55" s="149" t="s">
        <v>327</v>
      </c>
      <c r="C55" s="25" t="s">
        <v>246</v>
      </c>
      <c r="D55" s="25">
        <v>15</v>
      </c>
      <c r="E55" s="25">
        <v>20000</v>
      </c>
      <c r="F55" s="25">
        <f>D55*E55</f>
        <v>300000</v>
      </c>
    </row>
  </sheetData>
  <mergeCells count="1">
    <mergeCell ref="A1:F1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zoomScaleNormal="100" workbookViewId="0">
      <selection activeCell="M2" sqref="M2:R48"/>
    </sheetView>
  </sheetViews>
  <sheetFormatPr defaultRowHeight="15" x14ac:dyDescent="0.25"/>
  <cols>
    <col min="1" max="1" width="6.42578125" customWidth="1"/>
    <col min="2" max="2" width="32.42578125" customWidth="1"/>
    <col min="3" max="3" width="11.42578125" customWidth="1"/>
    <col min="4" max="4" width="12.85546875" customWidth="1"/>
    <col min="8" max="8" width="28.140625" customWidth="1"/>
    <col min="9" max="9" width="12.42578125" customWidth="1"/>
    <col min="10" max="10" width="10.140625" customWidth="1"/>
    <col min="11" max="11" width="10.140625" style="129" customWidth="1"/>
    <col min="12" max="12" width="10.28515625" customWidth="1"/>
    <col min="14" max="14" width="38.85546875" customWidth="1"/>
    <col min="15" max="15" width="9.85546875" customWidth="1"/>
    <col min="16" max="16" width="10" customWidth="1"/>
    <col min="18" max="18" width="10" customWidth="1"/>
  </cols>
  <sheetData>
    <row r="1" spans="1:18" ht="31.5" customHeight="1" x14ac:dyDescent="0.25">
      <c r="A1" s="324" t="s">
        <v>330</v>
      </c>
      <c r="B1" s="324"/>
      <c r="C1" s="324"/>
      <c r="D1" s="324"/>
      <c r="E1" s="324"/>
      <c r="F1" s="324"/>
      <c r="H1" s="152"/>
      <c r="N1" s="153"/>
    </row>
    <row r="2" spans="1:18" ht="38.25" x14ac:dyDescent="0.25">
      <c r="A2" s="166" t="s">
        <v>132</v>
      </c>
      <c r="B2" s="170" t="s">
        <v>328</v>
      </c>
      <c r="C2" s="171" t="s">
        <v>198</v>
      </c>
      <c r="D2" s="166" t="s">
        <v>199</v>
      </c>
      <c r="E2" s="172" t="s">
        <v>243</v>
      </c>
      <c r="F2" s="166" t="s">
        <v>331</v>
      </c>
      <c r="G2" s="70" t="s">
        <v>132</v>
      </c>
      <c r="H2" s="70" t="s">
        <v>274</v>
      </c>
      <c r="I2" s="70" t="s">
        <v>198</v>
      </c>
      <c r="J2" s="70" t="s">
        <v>275</v>
      </c>
      <c r="K2" s="73" t="s">
        <v>479</v>
      </c>
      <c r="L2" s="70" t="s">
        <v>277</v>
      </c>
      <c r="M2" s="70" t="s">
        <v>132</v>
      </c>
      <c r="N2" s="154" t="s">
        <v>274</v>
      </c>
      <c r="O2" s="70" t="s">
        <v>198</v>
      </c>
      <c r="P2" s="70" t="s">
        <v>275</v>
      </c>
      <c r="Q2" s="70" t="s">
        <v>479</v>
      </c>
      <c r="R2" s="70" t="s">
        <v>277</v>
      </c>
    </row>
    <row r="3" spans="1:18" s="69" customFormat="1" ht="12.75" x14ac:dyDescent="0.2">
      <c r="A3" s="165">
        <v>1</v>
      </c>
      <c r="B3" s="165">
        <v>2</v>
      </c>
      <c r="C3" s="165">
        <v>3</v>
      </c>
      <c r="D3" s="165">
        <v>4</v>
      </c>
      <c r="E3" s="165">
        <v>5</v>
      </c>
      <c r="F3" s="166">
        <v>6</v>
      </c>
      <c r="G3" s="70">
        <v>1</v>
      </c>
      <c r="H3" s="70">
        <v>2</v>
      </c>
      <c r="I3" s="70">
        <v>3</v>
      </c>
      <c r="J3" s="70">
        <v>4</v>
      </c>
      <c r="K3" s="70">
        <v>5</v>
      </c>
      <c r="L3" s="70">
        <v>6</v>
      </c>
      <c r="M3" s="70">
        <v>1</v>
      </c>
      <c r="N3" s="154">
        <v>2</v>
      </c>
      <c r="O3" s="70">
        <v>3</v>
      </c>
      <c r="P3" s="70">
        <v>4</v>
      </c>
      <c r="Q3" s="70">
        <v>5</v>
      </c>
      <c r="R3" s="70">
        <v>6</v>
      </c>
    </row>
    <row r="4" spans="1:18" ht="31.5" x14ac:dyDescent="0.25">
      <c r="A4" s="83">
        <v>1</v>
      </c>
      <c r="B4" s="27" t="s">
        <v>332</v>
      </c>
      <c r="C4" s="66" t="s">
        <v>246</v>
      </c>
      <c r="D4" s="66">
        <v>10</v>
      </c>
      <c r="E4" s="66">
        <v>110</v>
      </c>
      <c r="F4" s="155">
        <f>D4*E4</f>
        <v>1100</v>
      </c>
      <c r="G4" s="70"/>
      <c r="H4" s="67" t="s">
        <v>333</v>
      </c>
      <c r="I4" s="67"/>
      <c r="J4" s="67"/>
      <c r="K4" s="173"/>
      <c r="L4" s="67"/>
      <c r="M4" s="70"/>
      <c r="N4" s="157" t="s">
        <v>334</v>
      </c>
      <c r="O4" s="66"/>
      <c r="P4" s="66"/>
      <c r="Q4" s="66"/>
      <c r="R4" s="156"/>
    </row>
    <row r="5" spans="1:18" ht="15.75" x14ac:dyDescent="0.25">
      <c r="A5" s="83">
        <f t="shared" ref="A5:A68" si="0">A4+1</f>
        <v>2</v>
      </c>
      <c r="B5" s="27" t="s">
        <v>335</v>
      </c>
      <c r="C5" s="66" t="s">
        <v>246</v>
      </c>
      <c r="D5" s="66">
        <v>20</v>
      </c>
      <c r="E5" s="66">
        <v>50</v>
      </c>
      <c r="F5" s="155">
        <f t="shared" ref="F5:F43" si="1">D5*E5</f>
        <v>1000</v>
      </c>
      <c r="G5" s="83">
        <v>1</v>
      </c>
      <c r="H5" s="158" t="s">
        <v>336</v>
      </c>
      <c r="I5" s="158" t="s">
        <v>280</v>
      </c>
      <c r="J5" s="158">
        <v>300</v>
      </c>
      <c r="K5" s="174">
        <v>3.1665999999999999</v>
      </c>
      <c r="L5" s="159">
        <f t="shared" ref="L5:L12" si="2">J5*K5</f>
        <v>949.9799999999999</v>
      </c>
      <c r="M5" s="70">
        <v>1</v>
      </c>
      <c r="N5" s="160" t="s">
        <v>337</v>
      </c>
      <c r="O5" s="66" t="s">
        <v>246</v>
      </c>
      <c r="P5" s="66">
        <v>10</v>
      </c>
      <c r="Q5" s="66">
        <v>8</v>
      </c>
      <c r="R5" s="156">
        <f>P5*Q5</f>
        <v>80</v>
      </c>
    </row>
    <row r="6" spans="1:18" ht="31.5" x14ac:dyDescent="0.25">
      <c r="A6" s="83">
        <f t="shared" si="0"/>
        <v>3</v>
      </c>
      <c r="B6" s="27" t="s">
        <v>338</v>
      </c>
      <c r="C6" s="66" t="s">
        <v>339</v>
      </c>
      <c r="D6" s="66">
        <v>450</v>
      </c>
      <c r="E6" s="66">
        <v>200</v>
      </c>
      <c r="F6" s="155">
        <f t="shared" si="1"/>
        <v>90000</v>
      </c>
      <c r="G6" s="83">
        <f t="shared" ref="G6:G13" si="3">G5+1</f>
        <v>2</v>
      </c>
      <c r="H6" s="158" t="s">
        <v>340</v>
      </c>
      <c r="I6" s="158" t="s">
        <v>280</v>
      </c>
      <c r="J6" s="158">
        <v>300</v>
      </c>
      <c r="K6" s="174">
        <v>5.6665999999999999</v>
      </c>
      <c r="L6" s="159">
        <f t="shared" si="2"/>
        <v>1699.98</v>
      </c>
      <c r="M6" s="70">
        <f>M5+1</f>
        <v>2</v>
      </c>
      <c r="N6" s="160" t="s">
        <v>341</v>
      </c>
      <c r="O6" s="66" t="s">
        <v>246</v>
      </c>
      <c r="P6" s="66">
        <v>5</v>
      </c>
      <c r="Q6" s="66">
        <v>5</v>
      </c>
      <c r="R6" s="156">
        <f t="shared" ref="R6:R47" si="4">P6*Q6</f>
        <v>25</v>
      </c>
    </row>
    <row r="7" spans="1:18" ht="15.75" x14ac:dyDescent="0.25">
      <c r="A7" s="83">
        <f t="shared" si="0"/>
        <v>4</v>
      </c>
      <c r="B7" s="27" t="s">
        <v>342</v>
      </c>
      <c r="C7" s="66" t="s">
        <v>246</v>
      </c>
      <c r="D7" s="66">
        <v>2</v>
      </c>
      <c r="E7" s="66">
        <v>150</v>
      </c>
      <c r="F7" s="155">
        <f t="shared" si="1"/>
        <v>300</v>
      </c>
      <c r="G7" s="83">
        <f t="shared" si="3"/>
        <v>3</v>
      </c>
      <c r="H7" s="158" t="s">
        <v>343</v>
      </c>
      <c r="I7" s="158" t="s">
        <v>246</v>
      </c>
      <c r="J7" s="158">
        <v>250</v>
      </c>
      <c r="K7" s="174">
        <v>5</v>
      </c>
      <c r="L7" s="159">
        <f t="shared" si="2"/>
        <v>1250</v>
      </c>
      <c r="M7" s="70">
        <f>M6+1</f>
        <v>3</v>
      </c>
      <c r="N7" s="160" t="s">
        <v>344</v>
      </c>
      <c r="O7" s="66" t="s">
        <v>246</v>
      </c>
      <c r="P7" s="66">
        <v>5</v>
      </c>
      <c r="Q7" s="66">
        <v>10</v>
      </c>
      <c r="R7" s="156">
        <f t="shared" si="4"/>
        <v>50</v>
      </c>
    </row>
    <row r="8" spans="1:18" ht="31.5" x14ac:dyDescent="0.25">
      <c r="A8" s="83">
        <f t="shared" si="0"/>
        <v>5</v>
      </c>
      <c r="B8" s="27" t="s">
        <v>345</v>
      </c>
      <c r="C8" s="66" t="s">
        <v>246</v>
      </c>
      <c r="D8" s="66">
        <v>0</v>
      </c>
      <c r="E8" s="66">
        <v>850</v>
      </c>
      <c r="F8" s="155">
        <f t="shared" si="1"/>
        <v>0</v>
      </c>
      <c r="G8" s="83">
        <f t="shared" si="3"/>
        <v>4</v>
      </c>
      <c r="H8" s="158" t="s">
        <v>346</v>
      </c>
      <c r="I8" s="158" t="s">
        <v>280</v>
      </c>
      <c r="J8" s="158">
        <v>250</v>
      </c>
      <c r="K8" s="174">
        <v>2.3759999999999999</v>
      </c>
      <c r="L8" s="159">
        <f t="shared" si="2"/>
        <v>594</v>
      </c>
      <c r="M8" s="70"/>
      <c r="N8" s="157" t="s">
        <v>314</v>
      </c>
      <c r="O8" s="66"/>
      <c r="P8" s="66"/>
      <c r="Q8" s="66"/>
      <c r="R8" s="156">
        <f t="shared" si="4"/>
        <v>0</v>
      </c>
    </row>
    <row r="9" spans="1:18" ht="15.75" x14ac:dyDescent="0.25">
      <c r="A9" s="83">
        <f t="shared" si="0"/>
        <v>6</v>
      </c>
      <c r="B9" s="27" t="s">
        <v>347</v>
      </c>
      <c r="C9" s="66" t="s">
        <v>246</v>
      </c>
      <c r="D9" s="66">
        <v>5</v>
      </c>
      <c r="E9" s="66">
        <v>500</v>
      </c>
      <c r="F9" s="155">
        <f t="shared" si="1"/>
        <v>2500</v>
      </c>
      <c r="G9" s="83">
        <f t="shared" si="3"/>
        <v>5</v>
      </c>
      <c r="H9" s="158" t="s">
        <v>348</v>
      </c>
      <c r="I9" s="158" t="s">
        <v>246</v>
      </c>
      <c r="J9" s="158">
        <v>500</v>
      </c>
      <c r="K9" s="174">
        <v>0.5</v>
      </c>
      <c r="L9" s="159">
        <f t="shared" si="2"/>
        <v>250</v>
      </c>
      <c r="M9" s="70">
        <f>M7+1</f>
        <v>4</v>
      </c>
      <c r="N9" s="160" t="s">
        <v>349</v>
      </c>
      <c r="O9" s="66" t="s">
        <v>246</v>
      </c>
      <c r="P9" s="66">
        <v>25</v>
      </c>
      <c r="Q9" s="66">
        <v>2</v>
      </c>
      <c r="R9" s="156">
        <f t="shared" si="4"/>
        <v>50</v>
      </c>
    </row>
    <row r="10" spans="1:18" ht="15.75" x14ac:dyDescent="0.25">
      <c r="A10" s="83">
        <f t="shared" si="0"/>
        <v>7</v>
      </c>
      <c r="B10" s="27" t="s">
        <v>350</v>
      </c>
      <c r="C10" s="66" t="s">
        <v>351</v>
      </c>
      <c r="D10" s="66">
        <v>5</v>
      </c>
      <c r="E10" s="66">
        <v>60</v>
      </c>
      <c r="F10" s="155">
        <f t="shared" si="1"/>
        <v>300</v>
      </c>
      <c r="G10" s="83">
        <f t="shared" si="3"/>
        <v>6</v>
      </c>
      <c r="H10" s="158" t="s">
        <v>354</v>
      </c>
      <c r="I10" s="158" t="s">
        <v>246</v>
      </c>
      <c r="J10" s="158">
        <v>180</v>
      </c>
      <c r="K10" s="174">
        <v>0.41660000000000003</v>
      </c>
      <c r="L10" s="159">
        <f t="shared" si="2"/>
        <v>74.988</v>
      </c>
      <c r="M10" s="70">
        <f t="shared" ref="M10:M47" si="5">M9+1</f>
        <v>5</v>
      </c>
      <c r="N10" s="160" t="s">
        <v>352</v>
      </c>
      <c r="O10" s="66" t="s">
        <v>246</v>
      </c>
      <c r="P10" s="66">
        <v>25</v>
      </c>
      <c r="Q10" s="66">
        <v>1.8</v>
      </c>
      <c r="R10" s="156">
        <f t="shared" si="4"/>
        <v>45</v>
      </c>
    </row>
    <row r="11" spans="1:18" ht="15.75" x14ac:dyDescent="0.25">
      <c r="A11" s="83">
        <f t="shared" si="0"/>
        <v>8</v>
      </c>
      <c r="B11" s="27" t="s">
        <v>353</v>
      </c>
      <c r="C11" s="66" t="s">
        <v>246</v>
      </c>
      <c r="D11" s="66">
        <v>1</v>
      </c>
      <c r="E11" s="66">
        <v>120</v>
      </c>
      <c r="F11" s="155">
        <f t="shared" si="1"/>
        <v>120</v>
      </c>
      <c r="G11" s="83">
        <f t="shared" si="3"/>
        <v>7</v>
      </c>
      <c r="H11" s="158" t="s">
        <v>357</v>
      </c>
      <c r="I11" s="158" t="s">
        <v>246</v>
      </c>
      <c r="J11" s="158">
        <v>180</v>
      </c>
      <c r="K11" s="174">
        <v>0.97199999999999998</v>
      </c>
      <c r="L11" s="159">
        <f t="shared" si="2"/>
        <v>174.96</v>
      </c>
      <c r="M11" s="70">
        <f t="shared" si="5"/>
        <v>6</v>
      </c>
      <c r="N11" s="160" t="s">
        <v>355</v>
      </c>
      <c r="O11" s="66" t="s">
        <v>246</v>
      </c>
      <c r="P11" s="66">
        <v>25</v>
      </c>
      <c r="Q11" s="66">
        <v>0.5</v>
      </c>
      <c r="R11" s="156">
        <f t="shared" si="4"/>
        <v>12.5</v>
      </c>
    </row>
    <row r="12" spans="1:18" ht="15.75" x14ac:dyDescent="0.25">
      <c r="A12" s="83">
        <f t="shared" si="0"/>
        <v>9</v>
      </c>
      <c r="B12" s="27" t="s">
        <v>356</v>
      </c>
      <c r="C12" s="66" t="s">
        <v>246</v>
      </c>
      <c r="D12" s="66">
        <v>1</v>
      </c>
      <c r="E12" s="66">
        <v>1500</v>
      </c>
      <c r="F12" s="155">
        <f t="shared" si="1"/>
        <v>1500</v>
      </c>
      <c r="G12" s="83">
        <f t="shared" si="3"/>
        <v>8</v>
      </c>
      <c r="H12" s="158" t="s">
        <v>480</v>
      </c>
      <c r="I12" s="158" t="s">
        <v>246</v>
      </c>
      <c r="J12" s="158">
        <v>30</v>
      </c>
      <c r="K12" s="174">
        <v>5</v>
      </c>
      <c r="L12" s="159">
        <f t="shared" si="2"/>
        <v>150</v>
      </c>
      <c r="M12" s="70">
        <f t="shared" si="5"/>
        <v>7</v>
      </c>
      <c r="N12" s="160" t="s">
        <v>358</v>
      </c>
      <c r="O12" s="66" t="s">
        <v>246</v>
      </c>
      <c r="P12" s="66">
        <v>25</v>
      </c>
      <c r="Q12" s="66">
        <v>0.63</v>
      </c>
      <c r="R12" s="156">
        <f t="shared" si="4"/>
        <v>15.75</v>
      </c>
    </row>
    <row r="13" spans="1:18" ht="15.75" x14ac:dyDescent="0.25">
      <c r="A13" s="83">
        <f t="shared" si="0"/>
        <v>10</v>
      </c>
      <c r="B13" s="27" t="s">
        <v>359</v>
      </c>
      <c r="C13" s="66" t="s">
        <v>246</v>
      </c>
      <c r="D13" s="66">
        <v>30</v>
      </c>
      <c r="E13" s="66">
        <v>10</v>
      </c>
      <c r="F13" s="155">
        <f t="shared" si="1"/>
        <v>300</v>
      </c>
      <c r="G13" s="83">
        <f t="shared" si="3"/>
        <v>9</v>
      </c>
      <c r="H13" s="167" t="s">
        <v>240</v>
      </c>
      <c r="I13" s="167"/>
      <c r="J13" s="167"/>
      <c r="K13" s="175"/>
      <c r="L13" s="169">
        <f>SUM(L5:L12)</f>
        <v>5143.9080000000004</v>
      </c>
      <c r="M13" s="70"/>
      <c r="N13" s="157" t="s">
        <v>360</v>
      </c>
      <c r="O13" s="66"/>
      <c r="P13" s="66"/>
      <c r="Q13" s="66"/>
      <c r="R13" s="156">
        <f t="shared" si="4"/>
        <v>0</v>
      </c>
    </row>
    <row r="14" spans="1:18" ht="15.75" x14ac:dyDescent="0.25">
      <c r="A14" s="83">
        <f t="shared" si="0"/>
        <v>11</v>
      </c>
      <c r="B14" s="27" t="s">
        <v>361</v>
      </c>
      <c r="C14" s="66" t="s">
        <v>246</v>
      </c>
      <c r="D14" s="66">
        <v>10</v>
      </c>
      <c r="E14" s="66">
        <v>30</v>
      </c>
      <c r="F14" s="155">
        <f t="shared" si="1"/>
        <v>300</v>
      </c>
      <c r="G14" s="167"/>
      <c r="M14" s="70">
        <f>M12+1</f>
        <v>8</v>
      </c>
      <c r="N14" s="160" t="s">
        <v>362</v>
      </c>
      <c r="O14" s="66" t="s">
        <v>246</v>
      </c>
      <c r="P14" s="66">
        <v>10</v>
      </c>
      <c r="Q14" s="66">
        <v>10.5</v>
      </c>
      <c r="R14" s="156">
        <f t="shared" si="4"/>
        <v>105</v>
      </c>
    </row>
    <row r="15" spans="1:18" ht="15.75" customHeight="1" x14ac:dyDescent="0.25">
      <c r="A15" s="83">
        <f t="shared" si="0"/>
        <v>12</v>
      </c>
      <c r="B15" s="27" t="s">
        <v>363</v>
      </c>
      <c r="C15" s="66" t="s">
        <v>246</v>
      </c>
      <c r="D15" s="66">
        <v>10</v>
      </c>
      <c r="E15" s="66">
        <v>50</v>
      </c>
      <c r="F15" s="155">
        <f t="shared" si="1"/>
        <v>500</v>
      </c>
      <c r="G15" s="151"/>
      <c r="H15" s="323" t="s">
        <v>364</v>
      </c>
      <c r="I15" s="323"/>
      <c r="J15" s="323"/>
      <c r="K15" s="323"/>
      <c r="L15" s="325"/>
      <c r="M15" s="70">
        <f t="shared" si="5"/>
        <v>9</v>
      </c>
      <c r="N15" s="160" t="s">
        <v>365</v>
      </c>
      <c r="O15" s="66" t="s">
        <v>246</v>
      </c>
      <c r="P15" s="66">
        <v>5</v>
      </c>
      <c r="Q15" s="66">
        <v>1.06</v>
      </c>
      <c r="R15" s="156">
        <f t="shared" si="4"/>
        <v>5.3000000000000007</v>
      </c>
    </row>
    <row r="16" spans="1:18" ht="38.25" x14ac:dyDescent="0.25">
      <c r="A16" s="83">
        <f t="shared" si="0"/>
        <v>13</v>
      </c>
      <c r="B16" s="27" t="s">
        <v>366</v>
      </c>
      <c r="C16" s="66" t="s">
        <v>246</v>
      </c>
      <c r="D16" s="66">
        <v>10</v>
      </c>
      <c r="E16" s="66">
        <v>55</v>
      </c>
      <c r="F16" s="155">
        <f t="shared" si="1"/>
        <v>550</v>
      </c>
      <c r="G16" s="70" t="s">
        <v>132</v>
      </c>
      <c r="H16" s="70" t="s">
        <v>274</v>
      </c>
      <c r="I16" s="70" t="s">
        <v>198</v>
      </c>
      <c r="J16" s="70" t="s">
        <v>275</v>
      </c>
      <c r="K16" s="73" t="s">
        <v>479</v>
      </c>
      <c r="L16" s="70" t="s">
        <v>277</v>
      </c>
      <c r="M16" s="70">
        <f t="shared" si="5"/>
        <v>10</v>
      </c>
      <c r="N16" s="160" t="s">
        <v>367</v>
      </c>
      <c r="O16" s="66" t="s">
        <v>246</v>
      </c>
      <c r="P16" s="66">
        <v>50</v>
      </c>
      <c r="Q16" s="66">
        <v>0.38</v>
      </c>
      <c r="R16" s="156">
        <f t="shared" si="4"/>
        <v>19</v>
      </c>
    </row>
    <row r="17" spans="1:18" ht="31.5" x14ac:dyDescent="0.25">
      <c r="A17" s="83">
        <f t="shared" si="0"/>
        <v>14</v>
      </c>
      <c r="B17" s="27" t="s">
        <v>368</v>
      </c>
      <c r="C17" s="66" t="s">
        <v>246</v>
      </c>
      <c r="D17" s="66">
        <v>100</v>
      </c>
      <c r="E17" s="66">
        <v>100</v>
      </c>
      <c r="F17" s="155">
        <f t="shared" si="1"/>
        <v>10000</v>
      </c>
      <c r="G17" s="70">
        <v>1</v>
      </c>
      <c r="H17" s="154">
        <v>2</v>
      </c>
      <c r="I17" s="70">
        <v>3</v>
      </c>
      <c r="J17" s="70">
        <v>4</v>
      </c>
      <c r="K17" s="70">
        <v>5</v>
      </c>
      <c r="L17" s="70">
        <v>6</v>
      </c>
      <c r="M17" s="70">
        <f t="shared" si="5"/>
        <v>11</v>
      </c>
      <c r="N17" s="160" t="s">
        <v>369</v>
      </c>
      <c r="O17" s="66" t="s">
        <v>246</v>
      </c>
      <c r="P17" s="66">
        <v>40</v>
      </c>
      <c r="Q17" s="66">
        <v>0.03</v>
      </c>
      <c r="R17" s="156">
        <f t="shared" si="4"/>
        <v>1.2</v>
      </c>
    </row>
    <row r="18" spans="1:18" ht="31.5" x14ac:dyDescent="0.25">
      <c r="A18" s="83">
        <f t="shared" si="0"/>
        <v>15</v>
      </c>
      <c r="B18" s="27" t="s">
        <v>370</v>
      </c>
      <c r="C18" s="66" t="s">
        <v>246</v>
      </c>
      <c r="D18" s="66">
        <v>5</v>
      </c>
      <c r="E18" s="66">
        <v>15</v>
      </c>
      <c r="F18" s="155">
        <f t="shared" si="1"/>
        <v>75</v>
      </c>
      <c r="G18" s="70">
        <v>1</v>
      </c>
      <c r="H18" s="161" t="s">
        <v>371</v>
      </c>
      <c r="I18" s="66" t="s">
        <v>372</v>
      </c>
      <c r="J18" s="42">
        <v>22000</v>
      </c>
      <c r="K18" s="128">
        <v>4.5455000000000002E-2</v>
      </c>
      <c r="L18" s="177">
        <f>J18*K18</f>
        <v>1000.0100000000001</v>
      </c>
      <c r="M18" s="70">
        <f t="shared" si="5"/>
        <v>12</v>
      </c>
      <c r="N18" s="160" t="s">
        <v>373</v>
      </c>
      <c r="O18" s="66" t="s">
        <v>246</v>
      </c>
      <c r="P18" s="66">
        <v>100</v>
      </c>
      <c r="Q18" s="66">
        <v>0.02</v>
      </c>
      <c r="R18" s="156">
        <f t="shared" si="4"/>
        <v>2</v>
      </c>
    </row>
    <row r="19" spans="1:18" ht="15.75" x14ac:dyDescent="0.25">
      <c r="A19" s="83">
        <f t="shared" si="0"/>
        <v>16</v>
      </c>
      <c r="B19" s="27" t="s">
        <v>374</v>
      </c>
      <c r="C19" s="66" t="s">
        <v>246</v>
      </c>
      <c r="D19" s="66">
        <v>20</v>
      </c>
      <c r="E19" s="66">
        <v>20</v>
      </c>
      <c r="F19" s="155">
        <f t="shared" si="1"/>
        <v>400</v>
      </c>
      <c r="G19" s="70">
        <f>G18+1</f>
        <v>2</v>
      </c>
      <c r="H19" s="161" t="s">
        <v>481</v>
      </c>
      <c r="I19" s="66" t="s">
        <v>372</v>
      </c>
      <c r="J19" s="42">
        <v>200</v>
      </c>
      <c r="K19" s="117">
        <v>0.25</v>
      </c>
      <c r="L19" s="177">
        <f>J19*K19</f>
        <v>50</v>
      </c>
      <c r="M19" s="70"/>
      <c r="N19" s="157" t="s">
        <v>375</v>
      </c>
      <c r="O19" s="66"/>
      <c r="P19" s="66"/>
      <c r="Q19" s="66"/>
      <c r="R19" s="156">
        <f t="shared" si="4"/>
        <v>0</v>
      </c>
    </row>
    <row r="20" spans="1:18" ht="31.5" x14ac:dyDescent="0.25">
      <c r="A20" s="83">
        <f t="shared" si="0"/>
        <v>17</v>
      </c>
      <c r="B20" s="27" t="s">
        <v>376</v>
      </c>
      <c r="C20" s="66" t="s">
        <v>246</v>
      </c>
      <c r="D20" s="66">
        <v>2</v>
      </c>
      <c r="E20" s="66">
        <v>150</v>
      </c>
      <c r="F20" s="155">
        <f t="shared" si="1"/>
        <v>300</v>
      </c>
      <c r="G20" s="70">
        <f>G19+1</f>
        <v>3</v>
      </c>
      <c r="H20" s="161" t="s">
        <v>377</v>
      </c>
      <c r="I20" s="66" t="s">
        <v>249</v>
      </c>
      <c r="J20" s="42">
        <v>33</v>
      </c>
      <c r="K20" s="128">
        <v>18.183</v>
      </c>
      <c r="L20" s="177">
        <f>J20*K20</f>
        <v>600.03899999999999</v>
      </c>
      <c r="M20" s="70">
        <f>M18+1</f>
        <v>13</v>
      </c>
      <c r="N20" s="160" t="s">
        <v>378</v>
      </c>
      <c r="O20" s="66" t="s">
        <v>246</v>
      </c>
      <c r="P20" s="66">
        <v>10</v>
      </c>
      <c r="Q20" s="66">
        <v>1.5</v>
      </c>
      <c r="R20" s="156">
        <f t="shared" si="4"/>
        <v>15</v>
      </c>
    </row>
    <row r="21" spans="1:18" ht="15.75" x14ac:dyDescent="0.25">
      <c r="A21" s="83">
        <f t="shared" si="0"/>
        <v>18</v>
      </c>
      <c r="B21" s="27" t="s">
        <v>379</v>
      </c>
      <c r="C21" s="66" t="s">
        <v>246</v>
      </c>
      <c r="D21" s="66">
        <v>100</v>
      </c>
      <c r="E21" s="66">
        <v>150</v>
      </c>
      <c r="F21" s="155">
        <f t="shared" si="1"/>
        <v>15000</v>
      </c>
      <c r="G21" s="70"/>
      <c r="H21" s="176" t="s">
        <v>240</v>
      </c>
      <c r="I21" s="19"/>
      <c r="J21" s="37"/>
      <c r="K21" s="117"/>
      <c r="L21" s="127">
        <f>SUM(L18:L20)</f>
        <v>1650.0490000000002</v>
      </c>
      <c r="M21" s="70">
        <f t="shared" si="5"/>
        <v>14</v>
      </c>
      <c r="N21" s="160" t="s">
        <v>380</v>
      </c>
      <c r="O21" s="66" t="s">
        <v>246</v>
      </c>
      <c r="P21" s="66">
        <v>10</v>
      </c>
      <c r="Q21" s="66">
        <v>2</v>
      </c>
      <c r="R21" s="156">
        <f t="shared" si="4"/>
        <v>20</v>
      </c>
    </row>
    <row r="22" spans="1:18" ht="31.5" x14ac:dyDescent="0.25">
      <c r="A22" s="83">
        <f t="shared" si="0"/>
        <v>19</v>
      </c>
      <c r="B22" s="27" t="s">
        <v>381</v>
      </c>
      <c r="C22" s="66" t="s">
        <v>246</v>
      </c>
      <c r="D22" s="66">
        <v>100</v>
      </c>
      <c r="E22" s="66">
        <v>80</v>
      </c>
      <c r="F22" s="155">
        <f t="shared" si="1"/>
        <v>8000</v>
      </c>
      <c r="G22" s="162"/>
      <c r="H22" s="64"/>
      <c r="M22" s="70">
        <f t="shared" si="5"/>
        <v>15</v>
      </c>
      <c r="N22" s="160" t="s">
        <v>382</v>
      </c>
      <c r="O22" s="66" t="s">
        <v>246</v>
      </c>
      <c r="P22" s="66">
        <v>10</v>
      </c>
      <c r="Q22" s="66">
        <v>1.5</v>
      </c>
      <c r="R22" s="156">
        <f t="shared" si="4"/>
        <v>15</v>
      </c>
    </row>
    <row r="23" spans="1:18" ht="47.25" x14ac:dyDescent="0.25">
      <c r="A23" s="83">
        <f t="shared" si="0"/>
        <v>20</v>
      </c>
      <c r="B23" s="27" t="s">
        <v>383</v>
      </c>
      <c r="C23" s="66" t="s">
        <v>246</v>
      </c>
      <c r="D23" s="66">
        <v>15</v>
      </c>
      <c r="E23" s="66">
        <v>300</v>
      </c>
      <c r="F23" s="155">
        <f t="shared" si="1"/>
        <v>4500</v>
      </c>
      <c r="G23" s="162"/>
      <c r="H23" s="64"/>
      <c r="M23" s="70">
        <f t="shared" si="5"/>
        <v>16</v>
      </c>
      <c r="N23" s="160" t="s">
        <v>384</v>
      </c>
      <c r="O23" s="66" t="s">
        <v>246</v>
      </c>
      <c r="P23" s="66">
        <v>10</v>
      </c>
      <c r="Q23" s="66">
        <v>5</v>
      </c>
      <c r="R23" s="156">
        <f t="shared" si="4"/>
        <v>50</v>
      </c>
    </row>
    <row r="24" spans="1:18" ht="15.75" x14ac:dyDescent="0.25">
      <c r="A24" s="83">
        <f t="shared" si="0"/>
        <v>21</v>
      </c>
      <c r="B24" s="27" t="s">
        <v>385</v>
      </c>
      <c r="C24" s="66" t="s">
        <v>246</v>
      </c>
      <c r="D24" s="66">
        <v>5</v>
      </c>
      <c r="E24" s="66">
        <v>150</v>
      </c>
      <c r="F24" s="155">
        <f t="shared" si="1"/>
        <v>750</v>
      </c>
      <c r="G24" s="41"/>
      <c r="M24" s="70">
        <f t="shared" si="5"/>
        <v>17</v>
      </c>
      <c r="N24" s="160" t="s">
        <v>386</v>
      </c>
      <c r="O24" s="66" t="s">
        <v>246</v>
      </c>
      <c r="P24" s="66">
        <v>45</v>
      </c>
      <c r="Q24" s="66">
        <v>3</v>
      </c>
      <c r="R24" s="156">
        <f t="shared" si="4"/>
        <v>135</v>
      </c>
    </row>
    <row r="25" spans="1:18" ht="47.25" x14ac:dyDescent="0.25">
      <c r="A25" s="83">
        <f t="shared" si="0"/>
        <v>22</v>
      </c>
      <c r="B25" s="27" t="s">
        <v>387</v>
      </c>
      <c r="C25" s="66" t="s">
        <v>246</v>
      </c>
      <c r="D25" s="66">
        <v>50</v>
      </c>
      <c r="E25" s="66">
        <v>60</v>
      </c>
      <c r="F25" s="155">
        <f t="shared" si="1"/>
        <v>3000</v>
      </c>
      <c r="G25" s="75"/>
      <c r="M25" s="70">
        <f t="shared" si="5"/>
        <v>18</v>
      </c>
      <c r="N25" s="160" t="s">
        <v>388</v>
      </c>
      <c r="O25" s="66" t="s">
        <v>246</v>
      </c>
      <c r="P25" s="66">
        <v>15</v>
      </c>
      <c r="Q25" s="66">
        <v>0.05</v>
      </c>
      <c r="R25" s="156">
        <f t="shared" si="4"/>
        <v>0.75</v>
      </c>
    </row>
    <row r="26" spans="1:18" ht="15.75" x14ac:dyDescent="0.25">
      <c r="A26" s="83">
        <f t="shared" si="0"/>
        <v>23</v>
      </c>
      <c r="B26" s="27" t="s">
        <v>389</v>
      </c>
      <c r="C26" s="66" t="s">
        <v>246</v>
      </c>
      <c r="D26" s="66">
        <v>15</v>
      </c>
      <c r="E26" s="66">
        <v>25</v>
      </c>
      <c r="F26" s="155">
        <f t="shared" si="1"/>
        <v>375</v>
      </c>
      <c r="M26" s="70">
        <f t="shared" si="5"/>
        <v>19</v>
      </c>
      <c r="N26" s="160" t="s">
        <v>390</v>
      </c>
      <c r="O26" s="66" t="s">
        <v>391</v>
      </c>
      <c r="P26" s="66">
        <v>106</v>
      </c>
      <c r="Q26" s="66">
        <v>0.05</v>
      </c>
      <c r="R26" s="156">
        <f t="shared" si="4"/>
        <v>5.3000000000000007</v>
      </c>
    </row>
    <row r="27" spans="1:18" ht="31.5" x14ac:dyDescent="0.25">
      <c r="A27" s="83">
        <f t="shared" si="0"/>
        <v>24</v>
      </c>
      <c r="B27" s="27" t="s">
        <v>392</v>
      </c>
      <c r="C27" s="66" t="s">
        <v>246</v>
      </c>
      <c r="D27" s="66">
        <v>20</v>
      </c>
      <c r="E27" s="66">
        <v>15</v>
      </c>
      <c r="F27" s="155">
        <f t="shared" si="1"/>
        <v>300</v>
      </c>
      <c r="M27" s="70">
        <f t="shared" si="5"/>
        <v>20</v>
      </c>
      <c r="N27" s="160" t="s">
        <v>393</v>
      </c>
      <c r="O27" s="66" t="s">
        <v>391</v>
      </c>
      <c r="P27" s="66">
        <v>20</v>
      </c>
      <c r="Q27" s="66">
        <v>0.05</v>
      </c>
      <c r="R27" s="156">
        <f t="shared" si="4"/>
        <v>1</v>
      </c>
    </row>
    <row r="28" spans="1:18" ht="31.5" x14ac:dyDescent="0.25">
      <c r="A28" s="83">
        <f t="shared" si="0"/>
        <v>25</v>
      </c>
      <c r="B28" s="27" t="s">
        <v>394</v>
      </c>
      <c r="C28" s="66" t="s">
        <v>246</v>
      </c>
      <c r="D28" s="66">
        <v>20</v>
      </c>
      <c r="E28" s="66">
        <v>100</v>
      </c>
      <c r="F28" s="155">
        <f t="shared" si="1"/>
        <v>2000</v>
      </c>
      <c r="M28" s="70">
        <f t="shared" si="5"/>
        <v>21</v>
      </c>
      <c r="N28" s="160" t="s">
        <v>395</v>
      </c>
      <c r="O28" s="66" t="s">
        <v>246</v>
      </c>
      <c r="P28" s="66">
        <v>30</v>
      </c>
      <c r="Q28" s="66">
        <v>0.2</v>
      </c>
      <c r="R28" s="156">
        <f t="shared" si="4"/>
        <v>6</v>
      </c>
    </row>
    <row r="29" spans="1:18" ht="15.75" x14ac:dyDescent="0.25">
      <c r="A29" s="83">
        <f t="shared" si="0"/>
        <v>26</v>
      </c>
      <c r="B29" s="27" t="s">
        <v>396</v>
      </c>
      <c r="C29" s="66" t="s">
        <v>246</v>
      </c>
      <c r="D29" s="66">
        <v>1</v>
      </c>
      <c r="E29" s="66">
        <v>150</v>
      </c>
      <c r="F29" s="155">
        <f t="shared" si="1"/>
        <v>150</v>
      </c>
      <c r="M29" s="70"/>
      <c r="N29" s="157" t="s">
        <v>397</v>
      </c>
      <c r="O29" s="66"/>
      <c r="P29" s="66"/>
      <c r="Q29" s="66"/>
      <c r="R29" s="156">
        <f t="shared" si="4"/>
        <v>0</v>
      </c>
    </row>
    <row r="30" spans="1:18" ht="15.75" x14ac:dyDescent="0.25">
      <c r="A30" s="83">
        <f t="shared" si="0"/>
        <v>27</v>
      </c>
      <c r="B30" s="27" t="s">
        <v>398</v>
      </c>
      <c r="C30" s="66" t="s">
        <v>246</v>
      </c>
      <c r="D30" s="66">
        <v>15</v>
      </c>
      <c r="E30" s="66">
        <v>10</v>
      </c>
      <c r="F30" s="155">
        <f t="shared" si="1"/>
        <v>150</v>
      </c>
      <c r="M30" s="70">
        <f>M28+1</f>
        <v>22</v>
      </c>
      <c r="N30" s="160" t="s">
        <v>399</v>
      </c>
      <c r="O30" s="66" t="s">
        <v>246</v>
      </c>
      <c r="P30" s="66">
        <v>22</v>
      </c>
      <c r="Q30" s="66">
        <v>0.3</v>
      </c>
      <c r="R30" s="156">
        <f t="shared" si="4"/>
        <v>6.6</v>
      </c>
    </row>
    <row r="31" spans="1:18" ht="31.5" x14ac:dyDescent="0.25">
      <c r="A31" s="83">
        <f t="shared" si="0"/>
        <v>28</v>
      </c>
      <c r="B31" s="27" t="s">
        <v>400</v>
      </c>
      <c r="C31" s="66" t="s">
        <v>246</v>
      </c>
      <c r="D31" s="66">
        <v>30</v>
      </c>
      <c r="E31" s="66">
        <v>25</v>
      </c>
      <c r="F31" s="155">
        <f t="shared" si="1"/>
        <v>750</v>
      </c>
      <c r="M31" s="70">
        <f t="shared" si="5"/>
        <v>23</v>
      </c>
      <c r="N31" s="160" t="s">
        <v>401</v>
      </c>
      <c r="O31" s="66" t="s">
        <v>246</v>
      </c>
      <c r="P31" s="66">
        <v>20</v>
      </c>
      <c r="Q31" s="66">
        <v>2</v>
      </c>
      <c r="R31" s="156">
        <f t="shared" si="4"/>
        <v>40</v>
      </c>
    </row>
    <row r="32" spans="1:18" ht="31.5" x14ac:dyDescent="0.25">
      <c r="A32" s="83">
        <f t="shared" si="0"/>
        <v>29</v>
      </c>
      <c r="B32" s="27" t="s">
        <v>402</v>
      </c>
      <c r="C32" s="66" t="s">
        <v>246</v>
      </c>
      <c r="D32" s="66">
        <v>50</v>
      </c>
      <c r="E32" s="66">
        <v>10</v>
      </c>
      <c r="F32" s="155">
        <f t="shared" si="1"/>
        <v>500</v>
      </c>
      <c r="M32" s="70">
        <f t="shared" si="5"/>
        <v>24</v>
      </c>
      <c r="N32" s="160" t="s">
        <v>403</v>
      </c>
      <c r="O32" s="66" t="s">
        <v>246</v>
      </c>
      <c r="P32" s="66">
        <v>25</v>
      </c>
      <c r="Q32" s="66">
        <v>1</v>
      </c>
      <c r="R32" s="156">
        <f t="shared" si="4"/>
        <v>25</v>
      </c>
    </row>
    <row r="33" spans="1:18" ht="15.75" x14ac:dyDescent="0.25">
      <c r="A33" s="83">
        <f t="shared" si="0"/>
        <v>30</v>
      </c>
      <c r="B33" s="27" t="s">
        <v>404</v>
      </c>
      <c r="C33" s="66" t="s">
        <v>246</v>
      </c>
      <c r="D33" s="66">
        <v>20</v>
      </c>
      <c r="E33" s="66">
        <v>20</v>
      </c>
      <c r="F33" s="155">
        <f t="shared" si="1"/>
        <v>400</v>
      </c>
      <c r="M33" s="70">
        <f t="shared" si="5"/>
        <v>25</v>
      </c>
      <c r="N33" s="160" t="s">
        <v>405</v>
      </c>
      <c r="O33" s="66" t="s">
        <v>246</v>
      </c>
      <c r="P33" s="66">
        <v>25</v>
      </c>
      <c r="Q33" s="66">
        <v>1.5</v>
      </c>
      <c r="R33" s="156">
        <f t="shared" si="4"/>
        <v>37.5</v>
      </c>
    </row>
    <row r="34" spans="1:18" ht="15.75" x14ac:dyDescent="0.25">
      <c r="A34" s="83">
        <f t="shared" si="0"/>
        <v>31</v>
      </c>
      <c r="B34" s="27" t="s">
        <v>406</v>
      </c>
      <c r="C34" s="66" t="s">
        <v>246</v>
      </c>
      <c r="D34" s="66">
        <v>50</v>
      </c>
      <c r="E34" s="66">
        <v>10</v>
      </c>
      <c r="F34" s="155">
        <f t="shared" si="1"/>
        <v>500</v>
      </c>
      <c r="M34" s="70">
        <f t="shared" si="5"/>
        <v>26</v>
      </c>
      <c r="N34" s="160" t="s">
        <v>407</v>
      </c>
      <c r="O34" s="66" t="s">
        <v>246</v>
      </c>
      <c r="P34" s="66">
        <v>25</v>
      </c>
      <c r="Q34" s="66">
        <v>0.5</v>
      </c>
      <c r="R34" s="156">
        <f t="shared" si="4"/>
        <v>12.5</v>
      </c>
    </row>
    <row r="35" spans="1:18" ht="31.5" x14ac:dyDescent="0.25">
      <c r="A35" s="83">
        <f t="shared" si="0"/>
        <v>32</v>
      </c>
      <c r="B35" s="27" t="s">
        <v>408</v>
      </c>
      <c r="C35" s="66" t="s">
        <v>246</v>
      </c>
      <c r="D35" s="66">
        <v>5</v>
      </c>
      <c r="E35" s="66">
        <v>35</v>
      </c>
      <c r="F35" s="155">
        <f t="shared" si="1"/>
        <v>175</v>
      </c>
      <c r="M35" s="70"/>
      <c r="N35" s="157" t="s">
        <v>409</v>
      </c>
      <c r="O35" s="66"/>
      <c r="P35" s="66"/>
      <c r="Q35" s="66"/>
      <c r="R35" s="156">
        <f t="shared" si="4"/>
        <v>0</v>
      </c>
    </row>
    <row r="36" spans="1:18" ht="15.75" x14ac:dyDescent="0.25">
      <c r="A36" s="83">
        <f t="shared" si="0"/>
        <v>33</v>
      </c>
      <c r="B36" s="27" t="s">
        <v>410</v>
      </c>
      <c r="C36" s="66" t="s">
        <v>351</v>
      </c>
      <c r="D36" s="66">
        <v>15</v>
      </c>
      <c r="E36" s="66">
        <v>35</v>
      </c>
      <c r="F36" s="155">
        <f t="shared" si="1"/>
        <v>525</v>
      </c>
      <c r="M36" s="70">
        <f>M34+1</f>
        <v>27</v>
      </c>
      <c r="N36" s="160" t="s">
        <v>411</v>
      </c>
      <c r="O36" s="66" t="s">
        <v>246</v>
      </c>
      <c r="P36" s="66">
        <v>15</v>
      </c>
      <c r="Q36" s="66">
        <v>3</v>
      </c>
      <c r="R36" s="156">
        <f t="shared" si="4"/>
        <v>45</v>
      </c>
    </row>
    <row r="37" spans="1:18" ht="15.75" x14ac:dyDescent="0.25">
      <c r="A37" s="83">
        <f t="shared" si="0"/>
        <v>34</v>
      </c>
      <c r="B37" s="27" t="s">
        <v>412</v>
      </c>
      <c r="C37" s="66" t="s">
        <v>246</v>
      </c>
      <c r="D37" s="66">
        <v>1</v>
      </c>
      <c r="E37" s="66">
        <v>250</v>
      </c>
      <c r="F37" s="155">
        <f t="shared" si="1"/>
        <v>250</v>
      </c>
      <c r="M37" s="70">
        <f t="shared" si="5"/>
        <v>28</v>
      </c>
      <c r="N37" s="160" t="s">
        <v>413</v>
      </c>
      <c r="O37" s="66" t="s">
        <v>246</v>
      </c>
      <c r="P37" s="66">
        <v>35</v>
      </c>
      <c r="Q37" s="66">
        <v>1</v>
      </c>
      <c r="R37" s="156">
        <f t="shared" si="4"/>
        <v>35</v>
      </c>
    </row>
    <row r="38" spans="1:18" ht="31.5" x14ac:dyDescent="0.25">
      <c r="A38" s="83">
        <f t="shared" si="0"/>
        <v>35</v>
      </c>
      <c r="B38" s="27" t="s">
        <v>414</v>
      </c>
      <c r="C38" s="66" t="s">
        <v>246</v>
      </c>
      <c r="D38" s="66">
        <v>1</v>
      </c>
      <c r="E38" s="66">
        <v>1200</v>
      </c>
      <c r="F38" s="155">
        <f t="shared" si="1"/>
        <v>1200</v>
      </c>
      <c r="M38" s="70">
        <f t="shared" si="5"/>
        <v>29</v>
      </c>
      <c r="N38" s="160" t="s">
        <v>415</v>
      </c>
      <c r="O38" s="66" t="s">
        <v>246</v>
      </c>
      <c r="P38" s="66">
        <v>35</v>
      </c>
      <c r="Q38" s="66">
        <v>1</v>
      </c>
      <c r="R38" s="156">
        <f t="shared" si="4"/>
        <v>35</v>
      </c>
    </row>
    <row r="39" spans="1:18" ht="15.75" x14ac:dyDescent="0.25">
      <c r="A39" s="83">
        <f t="shared" si="0"/>
        <v>36</v>
      </c>
      <c r="B39" s="27" t="s">
        <v>416</v>
      </c>
      <c r="C39" s="66" t="s">
        <v>246</v>
      </c>
      <c r="D39" s="66">
        <v>3</v>
      </c>
      <c r="E39" s="66">
        <v>460</v>
      </c>
      <c r="F39" s="155">
        <f t="shared" si="1"/>
        <v>1380</v>
      </c>
      <c r="M39" s="70">
        <f t="shared" si="5"/>
        <v>30</v>
      </c>
      <c r="N39" s="160" t="s">
        <v>417</v>
      </c>
      <c r="O39" s="66" t="s">
        <v>246</v>
      </c>
      <c r="P39" s="66">
        <v>35</v>
      </c>
      <c r="Q39" s="66">
        <v>0.56999999999999995</v>
      </c>
      <c r="R39" s="156">
        <f t="shared" si="4"/>
        <v>19.95</v>
      </c>
    </row>
    <row r="40" spans="1:18" ht="15.75" x14ac:dyDescent="0.25">
      <c r="A40" s="83">
        <f t="shared" si="0"/>
        <v>37</v>
      </c>
      <c r="B40" s="27" t="s">
        <v>418</v>
      </c>
      <c r="C40" s="66" t="s">
        <v>351</v>
      </c>
      <c r="D40" s="66">
        <v>1</v>
      </c>
      <c r="E40" s="66">
        <v>100</v>
      </c>
      <c r="F40" s="155">
        <f t="shared" si="1"/>
        <v>100</v>
      </c>
      <c r="M40" s="70">
        <f t="shared" si="5"/>
        <v>31</v>
      </c>
      <c r="N40" s="160" t="s">
        <v>419</v>
      </c>
      <c r="O40" s="66" t="s">
        <v>391</v>
      </c>
      <c r="P40" s="66">
        <v>75</v>
      </c>
      <c r="Q40" s="66">
        <v>0.5</v>
      </c>
      <c r="R40" s="156">
        <f t="shared" si="4"/>
        <v>37.5</v>
      </c>
    </row>
    <row r="41" spans="1:18" ht="15.75" x14ac:dyDescent="0.25">
      <c r="A41" s="83">
        <f t="shared" si="0"/>
        <v>38</v>
      </c>
      <c r="B41" s="27" t="s">
        <v>420</v>
      </c>
      <c r="C41" s="66" t="s">
        <v>246</v>
      </c>
      <c r="D41" s="66">
        <v>1</v>
      </c>
      <c r="E41" s="66">
        <v>350</v>
      </c>
      <c r="F41" s="155">
        <f t="shared" si="1"/>
        <v>350</v>
      </c>
      <c r="M41" s="70">
        <f t="shared" si="5"/>
        <v>32</v>
      </c>
      <c r="N41" s="160" t="s">
        <v>421</v>
      </c>
      <c r="O41" s="66" t="s">
        <v>391</v>
      </c>
      <c r="P41" s="66">
        <v>66</v>
      </c>
      <c r="Q41" s="66">
        <v>0.05</v>
      </c>
      <c r="R41" s="156">
        <f t="shared" si="4"/>
        <v>3.3000000000000003</v>
      </c>
    </row>
    <row r="42" spans="1:18" ht="15.75" x14ac:dyDescent="0.25">
      <c r="A42" s="83">
        <f t="shared" si="0"/>
        <v>39</v>
      </c>
      <c r="B42" s="27" t="s">
        <v>422</v>
      </c>
      <c r="C42" s="66" t="s">
        <v>246</v>
      </c>
      <c r="D42" s="66">
        <v>5</v>
      </c>
      <c r="E42" s="66">
        <v>25</v>
      </c>
      <c r="F42" s="155">
        <f t="shared" si="1"/>
        <v>125</v>
      </c>
      <c r="M42" s="70">
        <f t="shared" si="5"/>
        <v>33</v>
      </c>
      <c r="N42" s="160" t="s">
        <v>423</v>
      </c>
      <c r="O42" s="66" t="s">
        <v>246</v>
      </c>
      <c r="P42" s="66">
        <v>30</v>
      </c>
      <c r="Q42" s="66">
        <v>0.2</v>
      </c>
      <c r="R42" s="156">
        <f t="shared" si="4"/>
        <v>6</v>
      </c>
    </row>
    <row r="43" spans="1:18" ht="15.75" x14ac:dyDescent="0.25">
      <c r="A43" s="83">
        <f t="shared" si="0"/>
        <v>40</v>
      </c>
      <c r="B43" s="27" t="s">
        <v>424</v>
      </c>
      <c r="C43" s="66" t="s">
        <v>246</v>
      </c>
      <c r="D43" s="66">
        <v>5</v>
      </c>
      <c r="E43" s="66">
        <v>55</v>
      </c>
      <c r="F43" s="155">
        <f t="shared" si="1"/>
        <v>275</v>
      </c>
      <c r="M43" s="70">
        <f t="shared" si="5"/>
        <v>34</v>
      </c>
      <c r="N43" s="160" t="s">
        <v>425</v>
      </c>
      <c r="O43" s="66" t="s">
        <v>246</v>
      </c>
      <c r="P43" s="66">
        <v>19</v>
      </c>
      <c r="Q43" s="66">
        <v>0.2</v>
      </c>
      <c r="R43" s="156">
        <f t="shared" si="4"/>
        <v>3.8000000000000003</v>
      </c>
    </row>
    <row r="44" spans="1:18" ht="15.75" x14ac:dyDescent="0.25">
      <c r="A44" s="83">
        <f t="shared" si="0"/>
        <v>41</v>
      </c>
      <c r="B44" s="67" t="s">
        <v>75</v>
      </c>
      <c r="C44" s="67"/>
      <c r="D44" s="67"/>
      <c r="E44" s="67"/>
      <c r="F44" s="163">
        <f>SUM(F4:F43)</f>
        <v>150000</v>
      </c>
      <c r="M44" s="70">
        <f t="shared" si="5"/>
        <v>35</v>
      </c>
      <c r="N44" s="160" t="s">
        <v>426</v>
      </c>
      <c r="O44" s="66" t="s">
        <v>246</v>
      </c>
      <c r="P44" s="66">
        <v>49</v>
      </c>
      <c r="Q44" s="66">
        <v>2</v>
      </c>
      <c r="R44" s="156">
        <f t="shared" si="4"/>
        <v>98</v>
      </c>
    </row>
    <row r="45" spans="1:18" ht="31.5" x14ac:dyDescent="0.25">
      <c r="A45" s="83">
        <f t="shared" si="0"/>
        <v>42</v>
      </c>
      <c r="B45" s="67" t="s">
        <v>427</v>
      </c>
      <c r="C45" s="67"/>
      <c r="D45" s="67"/>
      <c r="E45" s="67"/>
      <c r="F45" s="155"/>
      <c r="M45" s="70">
        <f t="shared" si="5"/>
        <v>36</v>
      </c>
      <c r="N45" s="160" t="s">
        <v>428</v>
      </c>
      <c r="O45" s="66" t="s">
        <v>391</v>
      </c>
      <c r="P45" s="66">
        <v>13</v>
      </c>
      <c r="Q45" s="66">
        <v>7</v>
      </c>
      <c r="R45" s="156">
        <f t="shared" si="4"/>
        <v>91</v>
      </c>
    </row>
    <row r="46" spans="1:18" ht="31.5" x14ac:dyDescent="0.25">
      <c r="A46" s="83">
        <f t="shared" si="0"/>
        <v>43</v>
      </c>
      <c r="B46" s="27" t="s">
        <v>429</v>
      </c>
      <c r="C46" s="66" t="s">
        <v>246</v>
      </c>
      <c r="D46" s="66">
        <v>25</v>
      </c>
      <c r="E46" s="66">
        <v>30</v>
      </c>
      <c r="F46" s="155">
        <f t="shared" ref="F46:F92" si="6">D46*E46</f>
        <v>750</v>
      </c>
      <c r="M46" s="70">
        <f t="shared" si="5"/>
        <v>37</v>
      </c>
      <c r="N46" s="160" t="s">
        <v>430</v>
      </c>
      <c r="O46" s="66" t="s">
        <v>391</v>
      </c>
      <c r="P46" s="66">
        <v>25</v>
      </c>
      <c r="Q46" s="66">
        <v>2.8</v>
      </c>
      <c r="R46" s="156">
        <f t="shared" si="4"/>
        <v>70</v>
      </c>
    </row>
    <row r="47" spans="1:18" ht="31.5" x14ac:dyDescent="0.25">
      <c r="A47" s="83">
        <f t="shared" si="0"/>
        <v>44</v>
      </c>
      <c r="B47" s="27" t="s">
        <v>431</v>
      </c>
      <c r="C47" s="66" t="s">
        <v>351</v>
      </c>
      <c r="D47" s="66">
        <v>150</v>
      </c>
      <c r="E47" s="66">
        <v>15</v>
      </c>
      <c r="F47" s="155">
        <f t="shared" si="6"/>
        <v>2250</v>
      </c>
      <c r="M47" s="70">
        <f t="shared" si="5"/>
        <v>38</v>
      </c>
      <c r="N47" s="160" t="s">
        <v>432</v>
      </c>
      <c r="O47" s="66" t="s">
        <v>246</v>
      </c>
      <c r="P47" s="66">
        <v>25</v>
      </c>
      <c r="Q47" s="66">
        <v>3</v>
      </c>
      <c r="R47" s="156">
        <f t="shared" si="4"/>
        <v>75</v>
      </c>
    </row>
    <row r="48" spans="1:18" ht="15.75" x14ac:dyDescent="0.25">
      <c r="A48" s="83">
        <f t="shared" si="0"/>
        <v>45</v>
      </c>
      <c r="B48" s="27" t="s">
        <v>433</v>
      </c>
      <c r="C48" s="66" t="s">
        <v>246</v>
      </c>
      <c r="D48" s="66">
        <v>10</v>
      </c>
      <c r="E48" s="66">
        <v>200</v>
      </c>
      <c r="F48" s="155">
        <f t="shared" si="6"/>
        <v>2000</v>
      </c>
      <c r="M48" s="167"/>
      <c r="N48" s="167" t="s">
        <v>240</v>
      </c>
      <c r="O48" s="167"/>
      <c r="P48" s="167"/>
      <c r="Q48" s="167"/>
      <c r="R48" s="168">
        <f>SUM(R5:R47)</f>
        <v>1299.9499999999998</v>
      </c>
    </row>
    <row r="49" spans="1:14" ht="15.75" x14ac:dyDescent="0.25">
      <c r="A49" s="83">
        <f t="shared" si="0"/>
        <v>46</v>
      </c>
      <c r="B49" s="27" t="s">
        <v>434</v>
      </c>
      <c r="C49" s="66" t="s">
        <v>246</v>
      </c>
      <c r="D49" s="66">
        <v>20</v>
      </c>
      <c r="E49" s="66">
        <v>200</v>
      </c>
      <c r="F49" s="155">
        <f t="shared" si="6"/>
        <v>4000</v>
      </c>
      <c r="N49" s="153"/>
    </row>
    <row r="50" spans="1:14" ht="15.75" x14ac:dyDescent="0.25">
      <c r="A50" s="83">
        <f t="shared" si="0"/>
        <v>47</v>
      </c>
      <c r="B50" s="27" t="s">
        <v>435</v>
      </c>
      <c r="C50" s="66" t="s">
        <v>246</v>
      </c>
      <c r="D50" s="66">
        <v>20</v>
      </c>
      <c r="E50" s="66">
        <v>1500</v>
      </c>
      <c r="F50" s="155">
        <f t="shared" si="6"/>
        <v>30000</v>
      </c>
      <c r="N50" s="153"/>
    </row>
    <row r="51" spans="1:14" ht="15.75" x14ac:dyDescent="0.25">
      <c r="A51" s="83">
        <f t="shared" si="0"/>
        <v>48</v>
      </c>
      <c r="B51" s="27" t="s">
        <v>436</v>
      </c>
      <c r="C51" s="66" t="s">
        <v>246</v>
      </c>
      <c r="D51" s="66">
        <v>10</v>
      </c>
      <c r="E51" s="66">
        <v>55</v>
      </c>
      <c r="F51" s="155">
        <f t="shared" si="6"/>
        <v>550</v>
      </c>
      <c r="N51" s="153"/>
    </row>
    <row r="52" spans="1:14" ht="15.75" x14ac:dyDescent="0.25">
      <c r="A52" s="83">
        <f t="shared" si="0"/>
        <v>49</v>
      </c>
      <c r="B52" s="27" t="s">
        <v>437</v>
      </c>
      <c r="C52" s="66" t="s">
        <v>246</v>
      </c>
      <c r="D52" s="66">
        <v>10</v>
      </c>
      <c r="E52" s="66">
        <v>45</v>
      </c>
      <c r="F52" s="155">
        <f t="shared" si="6"/>
        <v>450</v>
      </c>
      <c r="N52" s="153"/>
    </row>
    <row r="53" spans="1:14" ht="15.75" x14ac:dyDescent="0.25">
      <c r="A53" s="83">
        <f t="shared" si="0"/>
        <v>50</v>
      </c>
      <c r="B53" s="27" t="s">
        <v>438</v>
      </c>
      <c r="C53" s="66" t="s">
        <v>246</v>
      </c>
      <c r="D53" s="66">
        <v>25</v>
      </c>
      <c r="E53" s="66">
        <v>63</v>
      </c>
      <c r="F53" s="155">
        <f t="shared" si="6"/>
        <v>1575</v>
      </c>
      <c r="N53" s="153"/>
    </row>
    <row r="54" spans="1:14" ht="15.75" x14ac:dyDescent="0.25">
      <c r="A54" s="83">
        <f t="shared" si="0"/>
        <v>51</v>
      </c>
      <c r="B54" s="27" t="s">
        <v>439</v>
      </c>
      <c r="C54" s="66" t="s">
        <v>246</v>
      </c>
      <c r="D54" s="66">
        <v>10</v>
      </c>
      <c r="E54" s="66">
        <v>150</v>
      </c>
      <c r="F54" s="155">
        <f t="shared" si="6"/>
        <v>1500</v>
      </c>
      <c r="N54" s="153"/>
    </row>
    <row r="55" spans="1:14" ht="15.75" x14ac:dyDescent="0.25">
      <c r="A55" s="83">
        <f t="shared" si="0"/>
        <v>52</v>
      </c>
      <c r="B55" s="27" t="s">
        <v>440</v>
      </c>
      <c r="C55" s="66" t="s">
        <v>246</v>
      </c>
      <c r="D55" s="66">
        <v>50</v>
      </c>
      <c r="E55" s="66">
        <v>85</v>
      </c>
      <c r="F55" s="155">
        <f t="shared" si="6"/>
        <v>4250</v>
      </c>
      <c r="N55" s="153"/>
    </row>
    <row r="56" spans="1:14" ht="15.75" x14ac:dyDescent="0.25">
      <c r="A56" s="83">
        <f t="shared" si="0"/>
        <v>53</v>
      </c>
      <c r="B56" s="27" t="s">
        <v>441</v>
      </c>
      <c r="C56" s="66" t="s">
        <v>246</v>
      </c>
      <c r="D56" s="66">
        <v>30</v>
      </c>
      <c r="E56" s="66">
        <v>70</v>
      </c>
      <c r="F56" s="155">
        <f t="shared" si="6"/>
        <v>2100</v>
      </c>
      <c r="N56" s="153"/>
    </row>
    <row r="57" spans="1:14" ht="15.75" x14ac:dyDescent="0.25">
      <c r="A57" s="83">
        <f t="shared" si="0"/>
        <v>54</v>
      </c>
      <c r="B57" s="27" t="s">
        <v>329</v>
      </c>
      <c r="C57" s="66" t="s">
        <v>246</v>
      </c>
      <c r="D57" s="66">
        <v>2</v>
      </c>
      <c r="E57" s="66">
        <v>180</v>
      </c>
      <c r="F57" s="155">
        <f t="shared" si="6"/>
        <v>360</v>
      </c>
      <c r="N57" s="153"/>
    </row>
    <row r="58" spans="1:14" ht="15.75" x14ac:dyDescent="0.25">
      <c r="A58" s="83">
        <f t="shared" si="0"/>
        <v>55</v>
      </c>
      <c r="B58" s="27" t="s">
        <v>442</v>
      </c>
      <c r="C58" s="66" t="s">
        <v>246</v>
      </c>
      <c r="D58" s="66">
        <v>10</v>
      </c>
      <c r="E58" s="66">
        <v>170</v>
      </c>
      <c r="F58" s="155">
        <f t="shared" si="6"/>
        <v>1700</v>
      </c>
      <c r="N58" s="153"/>
    </row>
    <row r="59" spans="1:14" ht="15.75" x14ac:dyDescent="0.25">
      <c r="A59" s="83">
        <f t="shared" si="0"/>
        <v>56</v>
      </c>
      <c r="B59" s="27" t="s">
        <v>443</v>
      </c>
      <c r="C59" s="66" t="s">
        <v>246</v>
      </c>
      <c r="D59" s="66">
        <v>20</v>
      </c>
      <c r="E59" s="66">
        <v>160</v>
      </c>
      <c r="F59" s="155">
        <f t="shared" si="6"/>
        <v>3200</v>
      </c>
      <c r="N59" s="153"/>
    </row>
    <row r="60" spans="1:14" ht="15.75" x14ac:dyDescent="0.25">
      <c r="A60" s="83">
        <f t="shared" si="0"/>
        <v>57</v>
      </c>
      <c r="B60" s="27" t="s">
        <v>444</v>
      </c>
      <c r="C60" s="66" t="s">
        <v>246</v>
      </c>
      <c r="D60" s="66">
        <v>5</v>
      </c>
      <c r="E60" s="66">
        <v>130</v>
      </c>
      <c r="F60" s="155">
        <f t="shared" si="6"/>
        <v>650</v>
      </c>
      <c r="N60" s="153"/>
    </row>
    <row r="61" spans="1:14" ht="15.75" x14ac:dyDescent="0.25">
      <c r="A61" s="83">
        <f t="shared" si="0"/>
        <v>58</v>
      </c>
      <c r="B61" s="27" t="s">
        <v>445</v>
      </c>
      <c r="C61" s="66" t="s">
        <v>246</v>
      </c>
      <c r="D61" s="66">
        <v>50</v>
      </c>
      <c r="E61" s="66">
        <v>35</v>
      </c>
      <c r="F61" s="155">
        <f t="shared" si="6"/>
        <v>1750</v>
      </c>
      <c r="N61" s="153"/>
    </row>
    <row r="62" spans="1:14" ht="15.75" x14ac:dyDescent="0.25">
      <c r="A62" s="83">
        <f t="shared" si="0"/>
        <v>59</v>
      </c>
      <c r="B62" s="27" t="s">
        <v>446</v>
      </c>
      <c r="C62" s="66" t="s">
        <v>246</v>
      </c>
      <c r="D62" s="66">
        <v>50</v>
      </c>
      <c r="E62" s="66">
        <v>25</v>
      </c>
      <c r="F62" s="155">
        <f t="shared" si="6"/>
        <v>1250</v>
      </c>
      <c r="N62" s="153"/>
    </row>
    <row r="63" spans="1:14" ht="15.75" x14ac:dyDescent="0.25">
      <c r="A63" s="83">
        <f t="shared" si="0"/>
        <v>60</v>
      </c>
      <c r="B63" s="27" t="s">
        <v>447</v>
      </c>
      <c r="C63" s="66" t="s">
        <v>448</v>
      </c>
      <c r="D63" s="66">
        <v>20</v>
      </c>
      <c r="E63" s="66">
        <v>250</v>
      </c>
      <c r="F63" s="155">
        <f t="shared" si="6"/>
        <v>5000</v>
      </c>
      <c r="N63" s="153"/>
    </row>
    <row r="64" spans="1:14" ht="15.75" x14ac:dyDescent="0.25">
      <c r="A64" s="83">
        <f t="shared" si="0"/>
        <v>61</v>
      </c>
      <c r="B64" s="27" t="s">
        <v>449</v>
      </c>
      <c r="C64" s="66" t="s">
        <v>246</v>
      </c>
      <c r="D64" s="66">
        <v>3</v>
      </c>
      <c r="E64" s="66">
        <v>100</v>
      </c>
      <c r="F64" s="155">
        <f t="shared" si="6"/>
        <v>300</v>
      </c>
      <c r="N64" s="153"/>
    </row>
    <row r="65" spans="1:14" ht="15.75" x14ac:dyDescent="0.25">
      <c r="A65" s="83">
        <f t="shared" si="0"/>
        <v>62</v>
      </c>
      <c r="B65" s="27" t="s">
        <v>450</v>
      </c>
      <c r="C65" s="66" t="s">
        <v>246</v>
      </c>
      <c r="D65" s="66">
        <v>50</v>
      </c>
      <c r="E65" s="66">
        <v>35</v>
      </c>
      <c r="F65" s="155">
        <f t="shared" si="6"/>
        <v>1750</v>
      </c>
      <c r="N65" s="153"/>
    </row>
    <row r="66" spans="1:14" ht="15.75" x14ac:dyDescent="0.25">
      <c r="A66" s="83">
        <f t="shared" si="0"/>
        <v>63</v>
      </c>
      <c r="B66" s="27" t="s">
        <v>451</v>
      </c>
      <c r="C66" s="66" t="s">
        <v>246</v>
      </c>
      <c r="D66" s="66">
        <v>50</v>
      </c>
      <c r="E66" s="66">
        <v>45</v>
      </c>
      <c r="F66" s="155">
        <f t="shared" si="6"/>
        <v>2250</v>
      </c>
      <c r="N66" s="153"/>
    </row>
    <row r="67" spans="1:14" ht="15.75" x14ac:dyDescent="0.25">
      <c r="A67" s="83">
        <f t="shared" si="0"/>
        <v>64</v>
      </c>
      <c r="B67" s="27" t="s">
        <v>452</v>
      </c>
      <c r="C67" s="66" t="s">
        <v>246</v>
      </c>
      <c r="D67" s="66">
        <v>20</v>
      </c>
      <c r="E67" s="66">
        <v>40</v>
      </c>
      <c r="F67" s="155">
        <f t="shared" si="6"/>
        <v>800</v>
      </c>
      <c r="N67" s="153"/>
    </row>
    <row r="68" spans="1:14" ht="15.75" x14ac:dyDescent="0.25">
      <c r="A68" s="83">
        <f t="shared" si="0"/>
        <v>65</v>
      </c>
      <c r="B68" s="27" t="s">
        <v>453</v>
      </c>
      <c r="C68" s="66" t="s">
        <v>246</v>
      </c>
      <c r="D68" s="66">
        <v>150</v>
      </c>
      <c r="E68" s="66">
        <v>50</v>
      </c>
      <c r="F68" s="155">
        <f t="shared" si="6"/>
        <v>7500</v>
      </c>
      <c r="N68" s="153"/>
    </row>
    <row r="69" spans="1:14" ht="15.75" x14ac:dyDescent="0.25">
      <c r="A69" s="83">
        <f t="shared" ref="A69:A92" si="7">A68+1</f>
        <v>66</v>
      </c>
      <c r="B69" s="27" t="s">
        <v>454</v>
      </c>
      <c r="C69" s="66" t="s">
        <v>246</v>
      </c>
      <c r="D69" s="66">
        <v>10</v>
      </c>
      <c r="E69" s="66">
        <v>200</v>
      </c>
      <c r="F69" s="155">
        <f t="shared" si="6"/>
        <v>2000</v>
      </c>
      <c r="N69" s="153"/>
    </row>
    <row r="70" spans="1:14" ht="15.75" x14ac:dyDescent="0.25">
      <c r="A70" s="83">
        <f t="shared" si="7"/>
        <v>67</v>
      </c>
      <c r="B70" s="27" t="s">
        <v>455</v>
      </c>
      <c r="C70" s="66" t="s">
        <v>246</v>
      </c>
      <c r="D70" s="66">
        <v>30</v>
      </c>
      <c r="E70" s="66">
        <v>350</v>
      </c>
      <c r="F70" s="155">
        <f t="shared" si="6"/>
        <v>10500</v>
      </c>
      <c r="N70" s="153"/>
    </row>
    <row r="71" spans="1:14" ht="15.75" x14ac:dyDescent="0.25">
      <c r="A71" s="83">
        <f t="shared" si="7"/>
        <v>68</v>
      </c>
      <c r="B71" s="27" t="s">
        <v>456</v>
      </c>
      <c r="C71" s="66" t="s">
        <v>246</v>
      </c>
      <c r="D71" s="66">
        <v>15</v>
      </c>
      <c r="E71" s="66">
        <v>150</v>
      </c>
      <c r="F71" s="155">
        <f t="shared" si="6"/>
        <v>2250</v>
      </c>
      <c r="N71" s="153"/>
    </row>
    <row r="72" spans="1:14" ht="15.75" x14ac:dyDescent="0.25">
      <c r="A72" s="83">
        <f t="shared" si="7"/>
        <v>69</v>
      </c>
      <c r="B72" s="27" t="s">
        <v>457</v>
      </c>
      <c r="C72" s="66" t="s">
        <v>246</v>
      </c>
      <c r="D72" s="66">
        <v>15</v>
      </c>
      <c r="E72" s="66">
        <v>100</v>
      </c>
      <c r="F72" s="155">
        <f t="shared" si="6"/>
        <v>1500</v>
      </c>
      <c r="N72" s="153"/>
    </row>
    <row r="73" spans="1:14" ht="15.75" x14ac:dyDescent="0.25">
      <c r="A73" s="83">
        <f t="shared" si="7"/>
        <v>70</v>
      </c>
      <c r="B73" s="27" t="s">
        <v>458</v>
      </c>
      <c r="C73" s="66" t="s">
        <v>246</v>
      </c>
      <c r="D73" s="66">
        <v>20</v>
      </c>
      <c r="E73" s="66">
        <v>45</v>
      </c>
      <c r="F73" s="155">
        <f t="shared" si="6"/>
        <v>900</v>
      </c>
      <c r="N73" s="153"/>
    </row>
    <row r="74" spans="1:14" ht="15.75" x14ac:dyDescent="0.25">
      <c r="A74" s="83">
        <f t="shared" si="7"/>
        <v>71</v>
      </c>
      <c r="B74" s="27" t="s">
        <v>459</v>
      </c>
      <c r="C74" s="66" t="s">
        <v>246</v>
      </c>
      <c r="D74" s="66">
        <v>30</v>
      </c>
      <c r="E74" s="66">
        <v>100</v>
      </c>
      <c r="F74" s="155">
        <f t="shared" si="6"/>
        <v>3000</v>
      </c>
      <c r="N74" s="153"/>
    </row>
    <row r="75" spans="1:14" ht="15.75" x14ac:dyDescent="0.25">
      <c r="A75" s="83">
        <f t="shared" si="7"/>
        <v>72</v>
      </c>
      <c r="B75" s="27" t="s">
        <v>460</v>
      </c>
      <c r="C75" s="66" t="s">
        <v>351</v>
      </c>
      <c r="D75" s="66">
        <v>15</v>
      </c>
      <c r="E75" s="66">
        <v>120</v>
      </c>
      <c r="F75" s="155">
        <f t="shared" si="6"/>
        <v>1800</v>
      </c>
      <c r="N75" s="153"/>
    </row>
    <row r="76" spans="1:14" ht="15.75" x14ac:dyDescent="0.25">
      <c r="A76" s="83">
        <f t="shared" si="7"/>
        <v>73</v>
      </c>
      <c r="B76" s="27" t="s">
        <v>461</v>
      </c>
      <c r="C76" s="66" t="s">
        <v>246</v>
      </c>
      <c r="D76" s="66">
        <v>12</v>
      </c>
      <c r="E76" s="66">
        <v>1500</v>
      </c>
      <c r="F76" s="155">
        <f t="shared" si="6"/>
        <v>18000</v>
      </c>
      <c r="N76" s="153"/>
    </row>
    <row r="77" spans="1:14" ht="15.75" x14ac:dyDescent="0.25">
      <c r="A77" s="83">
        <f t="shared" si="7"/>
        <v>74</v>
      </c>
      <c r="B77" s="27" t="s">
        <v>462</v>
      </c>
      <c r="C77" s="66" t="s">
        <v>246</v>
      </c>
      <c r="D77" s="66">
        <v>2</v>
      </c>
      <c r="E77" s="66">
        <v>250</v>
      </c>
      <c r="F77" s="155">
        <f t="shared" si="6"/>
        <v>500</v>
      </c>
      <c r="N77" s="153"/>
    </row>
    <row r="78" spans="1:14" ht="15.75" x14ac:dyDescent="0.25">
      <c r="A78" s="83">
        <f t="shared" si="7"/>
        <v>75</v>
      </c>
      <c r="B78" s="27" t="s">
        <v>463</v>
      </c>
      <c r="C78" s="66" t="s">
        <v>246</v>
      </c>
      <c r="D78" s="66">
        <v>5</v>
      </c>
      <c r="E78" s="66">
        <v>150</v>
      </c>
      <c r="F78" s="155">
        <f t="shared" si="6"/>
        <v>750</v>
      </c>
      <c r="N78" s="153"/>
    </row>
    <row r="79" spans="1:14" ht="15.75" x14ac:dyDescent="0.25">
      <c r="A79" s="83">
        <f t="shared" si="7"/>
        <v>76</v>
      </c>
      <c r="B79" s="27" t="s">
        <v>464</v>
      </c>
      <c r="C79" s="66" t="s">
        <v>246</v>
      </c>
      <c r="D79" s="66">
        <v>2</v>
      </c>
      <c r="E79" s="66">
        <v>250</v>
      </c>
      <c r="F79" s="155">
        <f t="shared" si="6"/>
        <v>500</v>
      </c>
      <c r="N79" s="153"/>
    </row>
    <row r="80" spans="1:14" ht="15.75" x14ac:dyDescent="0.25">
      <c r="A80" s="83">
        <f t="shared" si="7"/>
        <v>77</v>
      </c>
      <c r="B80" s="27" t="s">
        <v>465</v>
      </c>
      <c r="C80" s="66" t="s">
        <v>246</v>
      </c>
      <c r="D80" s="66">
        <v>25</v>
      </c>
      <c r="E80" s="66">
        <v>250</v>
      </c>
      <c r="F80" s="155">
        <f t="shared" si="6"/>
        <v>6250</v>
      </c>
      <c r="N80" s="153"/>
    </row>
    <row r="81" spans="1:14" ht="15.75" x14ac:dyDescent="0.25">
      <c r="A81" s="83">
        <f t="shared" si="7"/>
        <v>78</v>
      </c>
      <c r="B81" s="27" t="s">
        <v>466</v>
      </c>
      <c r="C81" s="66" t="s">
        <v>246</v>
      </c>
      <c r="D81" s="66">
        <v>25</v>
      </c>
      <c r="E81" s="66">
        <v>100</v>
      </c>
      <c r="F81" s="155">
        <f t="shared" si="6"/>
        <v>2500</v>
      </c>
      <c r="N81" s="153"/>
    </row>
    <row r="82" spans="1:14" ht="15.75" x14ac:dyDescent="0.25">
      <c r="A82" s="83">
        <f t="shared" si="7"/>
        <v>79</v>
      </c>
      <c r="B82" s="27" t="s">
        <v>467</v>
      </c>
      <c r="C82" s="66" t="s">
        <v>246</v>
      </c>
      <c r="D82" s="66">
        <v>2</v>
      </c>
      <c r="E82" s="66">
        <v>350</v>
      </c>
      <c r="F82" s="155">
        <f t="shared" si="6"/>
        <v>700</v>
      </c>
      <c r="N82" s="153"/>
    </row>
    <row r="83" spans="1:14" ht="15.75" x14ac:dyDescent="0.25">
      <c r="A83" s="83">
        <f t="shared" si="7"/>
        <v>80</v>
      </c>
      <c r="B83" s="27" t="s">
        <v>468</v>
      </c>
      <c r="C83" s="66" t="s">
        <v>246</v>
      </c>
      <c r="D83" s="66">
        <v>2</v>
      </c>
      <c r="E83" s="66">
        <v>200</v>
      </c>
      <c r="F83" s="155">
        <f t="shared" si="6"/>
        <v>400</v>
      </c>
      <c r="N83" s="153"/>
    </row>
    <row r="84" spans="1:14" ht="15.75" x14ac:dyDescent="0.25">
      <c r="A84" s="83">
        <f t="shared" si="7"/>
        <v>81</v>
      </c>
      <c r="B84" s="27" t="s">
        <v>469</v>
      </c>
      <c r="C84" s="66" t="s">
        <v>246</v>
      </c>
      <c r="D84" s="66">
        <v>10</v>
      </c>
      <c r="E84" s="66">
        <v>250</v>
      </c>
      <c r="F84" s="155">
        <f t="shared" si="6"/>
        <v>2500</v>
      </c>
      <c r="N84" s="153"/>
    </row>
    <row r="85" spans="1:14" ht="15.75" x14ac:dyDescent="0.25">
      <c r="A85" s="83">
        <f t="shared" si="7"/>
        <v>82</v>
      </c>
      <c r="B85" s="27" t="s">
        <v>470</v>
      </c>
      <c r="C85" s="66" t="s">
        <v>246</v>
      </c>
      <c r="D85" s="66">
        <v>20</v>
      </c>
      <c r="E85" s="66">
        <v>120</v>
      </c>
      <c r="F85" s="155">
        <f t="shared" si="6"/>
        <v>2400</v>
      </c>
      <c r="N85" s="153"/>
    </row>
    <row r="86" spans="1:14" ht="15.75" x14ac:dyDescent="0.25">
      <c r="A86" s="83">
        <f t="shared" si="7"/>
        <v>83</v>
      </c>
      <c r="B86" s="27" t="s">
        <v>471</v>
      </c>
      <c r="C86" s="66" t="s">
        <v>246</v>
      </c>
      <c r="D86" s="66">
        <v>50</v>
      </c>
      <c r="E86" s="66">
        <v>35</v>
      </c>
      <c r="F86" s="155">
        <f t="shared" si="6"/>
        <v>1750</v>
      </c>
      <c r="N86" s="153"/>
    </row>
    <row r="87" spans="1:14" ht="15.75" x14ac:dyDescent="0.25">
      <c r="A87" s="83">
        <f t="shared" si="7"/>
        <v>84</v>
      </c>
      <c r="B87" s="27" t="s">
        <v>472</v>
      </c>
      <c r="C87" s="66" t="s">
        <v>246</v>
      </c>
      <c r="D87" s="66">
        <v>50</v>
      </c>
      <c r="E87" s="66">
        <v>75</v>
      </c>
      <c r="F87" s="155">
        <f t="shared" si="6"/>
        <v>3750</v>
      </c>
      <c r="N87" s="153"/>
    </row>
    <row r="88" spans="1:14" ht="15.75" x14ac:dyDescent="0.25">
      <c r="A88" s="83">
        <f t="shared" si="7"/>
        <v>85</v>
      </c>
      <c r="B88" s="27" t="s">
        <v>473</v>
      </c>
      <c r="C88" s="66" t="s">
        <v>302</v>
      </c>
      <c r="D88" s="66">
        <v>100</v>
      </c>
      <c r="E88" s="66">
        <v>60</v>
      </c>
      <c r="F88" s="155">
        <f t="shared" si="6"/>
        <v>6000</v>
      </c>
      <c r="N88" s="153"/>
    </row>
    <row r="89" spans="1:14" ht="15.75" x14ac:dyDescent="0.25">
      <c r="A89" s="83">
        <f t="shared" si="7"/>
        <v>86</v>
      </c>
      <c r="B89" s="27" t="s">
        <v>474</v>
      </c>
      <c r="C89" s="66" t="s">
        <v>246</v>
      </c>
      <c r="D89" s="66">
        <v>15</v>
      </c>
      <c r="E89" s="66">
        <v>35</v>
      </c>
      <c r="F89" s="155">
        <f t="shared" si="6"/>
        <v>525</v>
      </c>
      <c r="N89" s="153"/>
    </row>
    <row r="90" spans="1:14" ht="15.75" x14ac:dyDescent="0.25">
      <c r="A90" s="83">
        <f t="shared" si="7"/>
        <v>87</v>
      </c>
      <c r="B90" s="27" t="s">
        <v>475</v>
      </c>
      <c r="C90" s="66" t="s">
        <v>246</v>
      </c>
      <c r="D90" s="66">
        <v>3</v>
      </c>
      <c r="E90" s="66">
        <v>2300</v>
      </c>
      <c r="F90" s="155">
        <f t="shared" si="6"/>
        <v>6900</v>
      </c>
      <c r="N90" s="153"/>
    </row>
    <row r="91" spans="1:14" ht="15.75" x14ac:dyDescent="0.25">
      <c r="A91" s="83">
        <f t="shared" si="7"/>
        <v>88</v>
      </c>
      <c r="B91" s="27" t="s">
        <v>476</v>
      </c>
      <c r="C91" s="66" t="s">
        <v>246</v>
      </c>
      <c r="D91" s="66">
        <v>10</v>
      </c>
      <c r="E91" s="66">
        <v>80</v>
      </c>
      <c r="F91" s="155">
        <f t="shared" si="6"/>
        <v>800</v>
      </c>
      <c r="N91" s="153"/>
    </row>
    <row r="92" spans="1:14" ht="15.75" x14ac:dyDescent="0.25">
      <c r="A92" s="83">
        <f t="shared" si="7"/>
        <v>89</v>
      </c>
      <c r="B92" s="27" t="s">
        <v>477</v>
      </c>
      <c r="C92" s="66" t="s">
        <v>246</v>
      </c>
      <c r="D92" s="66">
        <v>50</v>
      </c>
      <c r="E92" s="66">
        <v>200</v>
      </c>
      <c r="F92" s="155">
        <f t="shared" si="6"/>
        <v>10000</v>
      </c>
      <c r="N92" s="153"/>
    </row>
    <row r="93" spans="1:14" ht="15.75" x14ac:dyDescent="0.25">
      <c r="A93" s="83"/>
      <c r="B93" s="67" t="s">
        <v>75</v>
      </c>
      <c r="C93" s="67"/>
      <c r="D93" s="67"/>
      <c r="E93" s="67"/>
      <c r="F93" s="163">
        <f>SUM(F46:F92)</f>
        <v>162110</v>
      </c>
      <c r="N93" s="153"/>
    </row>
    <row r="94" spans="1:14" ht="15.75" x14ac:dyDescent="0.25">
      <c r="A94" s="83"/>
      <c r="B94" s="150" t="s">
        <v>478</v>
      </c>
      <c r="C94" s="119"/>
      <c r="D94" s="119"/>
      <c r="E94" s="119"/>
      <c r="F94" s="164">
        <f>F44+F93</f>
        <v>312110</v>
      </c>
      <c r="N94" s="153"/>
    </row>
  </sheetData>
  <mergeCells count="2">
    <mergeCell ref="A1:F1"/>
    <mergeCell ref="H15:L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1"/>
  <sheetViews>
    <sheetView topLeftCell="A31" zoomScaleNormal="100" workbookViewId="0">
      <selection activeCell="I23" sqref="I23"/>
    </sheetView>
  </sheetViews>
  <sheetFormatPr defaultRowHeight="15" x14ac:dyDescent="0.25"/>
  <cols>
    <col min="1" max="1" width="50.28515625" style="45" customWidth="1"/>
    <col min="2" max="2" width="7.42578125" customWidth="1"/>
    <col min="3" max="3" width="7.140625" customWidth="1"/>
    <col min="4" max="4" width="10.85546875" customWidth="1"/>
    <col min="5" max="5" width="15.5703125" style="53" customWidth="1"/>
    <col min="6" max="6" width="8.28515625" style="32" customWidth="1"/>
    <col min="7" max="7" width="7.42578125" style="40" customWidth="1"/>
    <col min="8" max="8" width="9.7109375" customWidth="1"/>
    <col min="9" max="9" width="18.85546875" style="77" customWidth="1"/>
    <col min="10" max="10" width="9.140625" customWidth="1"/>
  </cols>
  <sheetData>
    <row r="1" spans="1:9" x14ac:dyDescent="0.25">
      <c r="A1" s="204"/>
      <c r="B1" s="215"/>
      <c r="C1" s="215"/>
      <c r="D1" s="215"/>
      <c r="E1" s="292" t="s">
        <v>40</v>
      </c>
      <c r="F1" s="292"/>
      <c r="G1" s="292"/>
      <c r="H1" s="292"/>
      <c r="I1" s="292"/>
    </row>
    <row r="2" spans="1:9" x14ac:dyDescent="0.25">
      <c r="A2" s="293" t="s">
        <v>37</v>
      </c>
      <c r="B2" s="293"/>
      <c r="C2" s="242"/>
      <c r="D2" s="244"/>
      <c r="E2" s="294" t="s">
        <v>0</v>
      </c>
      <c r="F2" s="294"/>
      <c r="G2" s="294"/>
      <c r="H2" s="294"/>
      <c r="I2" s="294"/>
    </row>
    <row r="3" spans="1:9" x14ac:dyDescent="0.25">
      <c r="A3" s="295"/>
      <c r="B3" s="295"/>
      <c r="C3" s="38"/>
      <c r="D3" s="244"/>
      <c r="E3" s="295" t="s">
        <v>1</v>
      </c>
      <c r="F3" s="295"/>
      <c r="G3" s="295"/>
      <c r="H3" s="295"/>
      <c r="I3" s="295"/>
    </row>
    <row r="4" spans="1:9" x14ac:dyDescent="0.25">
      <c r="A4" s="205" t="s">
        <v>2</v>
      </c>
      <c r="B4" s="216"/>
      <c r="C4" s="247"/>
      <c r="D4" s="247"/>
      <c r="E4" s="291" t="s">
        <v>3</v>
      </c>
      <c r="F4" s="291"/>
      <c r="G4" s="291"/>
      <c r="H4" s="291"/>
      <c r="I4" s="291"/>
    </row>
    <row r="5" spans="1:9" x14ac:dyDescent="0.25">
      <c r="A5" s="295"/>
      <c r="B5" s="295"/>
      <c r="C5" s="38"/>
      <c r="D5" s="244"/>
      <c r="E5" s="297" t="s">
        <v>4</v>
      </c>
      <c r="F5" s="297"/>
      <c r="G5" s="297"/>
      <c r="H5" s="297"/>
      <c r="I5" s="297"/>
    </row>
    <row r="6" spans="1:9" ht="39" customHeight="1" x14ac:dyDescent="0.25">
      <c r="A6" s="205" t="s">
        <v>5</v>
      </c>
      <c r="B6" s="216"/>
      <c r="C6" s="247"/>
      <c r="D6" s="247"/>
      <c r="E6" s="291" t="s">
        <v>5</v>
      </c>
      <c r="F6" s="291"/>
      <c r="G6" s="291"/>
      <c r="H6" s="291"/>
      <c r="I6" s="291"/>
    </row>
    <row r="7" spans="1:9" x14ac:dyDescent="0.25">
      <c r="A7" s="297"/>
      <c r="B7" s="297"/>
      <c r="C7" s="38"/>
      <c r="D7" s="244"/>
      <c r="E7" s="49"/>
      <c r="F7" s="182"/>
      <c r="G7" s="244"/>
      <c r="H7" s="4" t="s">
        <v>6</v>
      </c>
      <c r="I7" s="76"/>
    </row>
    <row r="8" spans="1:9" ht="29.25" customHeight="1" x14ac:dyDescent="0.25">
      <c r="A8" s="205" t="s">
        <v>38</v>
      </c>
      <c r="B8" s="216"/>
      <c r="C8" s="247"/>
      <c r="D8" s="247"/>
      <c r="E8" s="298" t="s">
        <v>7</v>
      </c>
      <c r="F8" s="298"/>
      <c r="G8" s="247"/>
      <c r="H8" s="23" t="s">
        <v>8</v>
      </c>
    </row>
    <row r="9" spans="1:9" x14ac:dyDescent="0.25">
      <c r="A9" s="243" t="s">
        <v>41</v>
      </c>
      <c r="B9" s="244"/>
      <c r="C9" s="217"/>
      <c r="D9" s="244"/>
      <c r="E9" s="299" t="s">
        <v>41</v>
      </c>
      <c r="F9" s="299"/>
      <c r="G9" s="299"/>
      <c r="H9" s="299"/>
      <c r="I9" s="299"/>
    </row>
    <row r="10" spans="1:9" x14ac:dyDescent="0.25">
      <c r="A10" s="243"/>
      <c r="B10" s="244"/>
      <c r="C10" s="217"/>
      <c r="D10" s="244"/>
      <c r="E10" s="243"/>
      <c r="F10" s="243"/>
      <c r="G10" s="243"/>
      <c r="H10" s="243"/>
      <c r="I10" s="243"/>
    </row>
    <row r="11" spans="1:9" ht="18.75" x14ac:dyDescent="0.3">
      <c r="A11" s="300" t="s">
        <v>508</v>
      </c>
      <c r="B11" s="300"/>
      <c r="C11" s="300"/>
      <c r="D11" s="300"/>
      <c r="E11" s="300"/>
      <c r="F11" s="300"/>
      <c r="G11" s="300"/>
      <c r="H11" s="300"/>
      <c r="I11" s="300"/>
    </row>
    <row r="12" spans="1:9" ht="18.75" customHeight="1" x14ac:dyDescent="0.25">
      <c r="A12" s="243"/>
      <c r="B12" s="244"/>
      <c r="C12" s="244"/>
      <c r="D12" s="244"/>
      <c r="E12" s="251"/>
      <c r="F12" s="301"/>
      <c r="G12" s="301"/>
      <c r="H12" s="302"/>
      <c r="I12" s="302"/>
    </row>
    <row r="13" spans="1:9" ht="57.75" customHeight="1" x14ac:dyDescent="0.25">
      <c r="A13" s="24" t="s">
        <v>9</v>
      </c>
      <c r="B13" s="303" t="s">
        <v>10</v>
      </c>
      <c r="C13" s="303"/>
      <c r="D13" s="303"/>
      <c r="E13" s="303"/>
      <c r="F13" s="303"/>
      <c r="G13" s="303"/>
      <c r="H13" s="303"/>
      <c r="I13" s="303"/>
    </row>
    <row r="14" spans="1:9" x14ac:dyDescent="0.25">
      <c r="A14" s="24" t="s">
        <v>11</v>
      </c>
      <c r="B14" s="318" t="s">
        <v>12</v>
      </c>
      <c r="C14" s="318"/>
      <c r="D14" s="318"/>
      <c r="E14" s="318"/>
      <c r="F14" s="318"/>
      <c r="G14" s="318"/>
      <c r="H14" s="318"/>
      <c r="I14" s="318"/>
    </row>
    <row r="15" spans="1:9" ht="29.25" customHeight="1" x14ac:dyDescent="0.25">
      <c r="A15" s="24" t="s">
        <v>13</v>
      </c>
      <c r="B15" s="318" t="s">
        <v>14</v>
      </c>
      <c r="C15" s="318"/>
      <c r="D15" s="318"/>
      <c r="E15" s="318"/>
      <c r="F15" s="318"/>
      <c r="G15" s="318"/>
      <c r="H15" s="318"/>
      <c r="I15" s="318"/>
    </row>
    <row r="16" spans="1:9" x14ac:dyDescent="0.25">
      <c r="A16" s="24" t="s">
        <v>15</v>
      </c>
      <c r="B16" s="318" t="s">
        <v>39</v>
      </c>
      <c r="C16" s="318"/>
      <c r="D16" s="318"/>
      <c r="E16" s="318"/>
      <c r="F16" s="318"/>
      <c r="G16" s="318"/>
      <c r="H16" s="318"/>
      <c r="I16" s="318"/>
    </row>
    <row r="17" spans="1:9" x14ac:dyDescent="0.25">
      <c r="A17" s="24" t="s">
        <v>198</v>
      </c>
      <c r="B17" s="318" t="s">
        <v>488</v>
      </c>
      <c r="C17" s="318"/>
      <c r="D17" s="318"/>
      <c r="E17" s="318"/>
      <c r="F17" s="318"/>
      <c r="G17" s="318"/>
      <c r="H17" s="318"/>
      <c r="I17" s="318"/>
    </row>
    <row r="18" spans="1:9" ht="15.75" thickBot="1" x14ac:dyDescent="0.3">
      <c r="A18" s="243"/>
      <c r="B18" s="305"/>
      <c r="C18" s="305"/>
      <c r="D18" s="305"/>
      <c r="E18" s="305"/>
      <c r="F18" s="305"/>
      <c r="G18" s="305"/>
      <c r="H18" s="305"/>
      <c r="I18" s="305"/>
    </row>
    <row r="19" spans="1:9" x14ac:dyDescent="0.25">
      <c r="A19" s="306" t="s">
        <v>16</v>
      </c>
      <c r="B19" s="308" t="s">
        <v>42</v>
      </c>
      <c r="C19" s="310" t="s">
        <v>17</v>
      </c>
      <c r="D19" s="311"/>
      <c r="E19" s="311"/>
      <c r="F19" s="311"/>
      <c r="G19" s="311"/>
      <c r="H19" s="312"/>
      <c r="I19" s="313" t="s">
        <v>490</v>
      </c>
    </row>
    <row r="20" spans="1:9" ht="51" x14ac:dyDescent="0.25">
      <c r="A20" s="307"/>
      <c r="B20" s="309"/>
      <c r="C20" s="11" t="s">
        <v>18</v>
      </c>
      <c r="D20" s="11" t="s">
        <v>19</v>
      </c>
      <c r="E20" s="11" t="s">
        <v>20</v>
      </c>
      <c r="F20" s="11" t="s">
        <v>21</v>
      </c>
      <c r="G20" s="11" t="s">
        <v>22</v>
      </c>
      <c r="H20" s="11" t="s">
        <v>43</v>
      </c>
      <c r="I20" s="309"/>
    </row>
    <row r="21" spans="1:9" x14ac:dyDescent="0.25">
      <c r="A21" s="206">
        <v>1</v>
      </c>
      <c r="B21" s="15">
        <v>2</v>
      </c>
      <c r="C21" s="15">
        <v>3</v>
      </c>
      <c r="D21" s="15">
        <v>4</v>
      </c>
      <c r="E21" s="245">
        <v>5</v>
      </c>
      <c r="F21" s="15">
        <v>6</v>
      </c>
      <c r="G21" s="15">
        <v>7</v>
      </c>
      <c r="H21" s="16">
        <v>8</v>
      </c>
      <c r="I21" s="245">
        <v>9</v>
      </c>
    </row>
    <row r="22" spans="1:9" ht="63" x14ac:dyDescent="0.25">
      <c r="A22" s="230" t="s">
        <v>493</v>
      </c>
      <c r="B22" s="231"/>
      <c r="C22" s="231"/>
      <c r="D22" s="231"/>
      <c r="E22" s="232"/>
      <c r="F22" s="231">
        <v>100</v>
      </c>
      <c r="G22" s="231"/>
      <c r="H22" s="233"/>
      <c r="I22" s="229">
        <f>I23+I24+I25+I26</f>
        <v>228098136.00480002</v>
      </c>
    </row>
    <row r="23" spans="1:9" ht="15.75" x14ac:dyDescent="0.25">
      <c r="A23" s="225" t="s">
        <v>44</v>
      </c>
      <c r="B23" s="201" t="s">
        <v>45</v>
      </c>
      <c r="C23" s="201" t="s">
        <v>46</v>
      </c>
      <c r="D23" s="201" t="s">
        <v>47</v>
      </c>
      <c r="E23" s="200" t="s">
        <v>23</v>
      </c>
      <c r="F23" s="201">
        <v>111</v>
      </c>
      <c r="G23" s="201">
        <v>211</v>
      </c>
      <c r="H23" s="202"/>
      <c r="I23" s="203">
        <f>152631560*1.1</f>
        <v>167894716</v>
      </c>
    </row>
    <row r="24" spans="1:9" ht="31.5" x14ac:dyDescent="0.25">
      <c r="A24" s="226" t="s">
        <v>48</v>
      </c>
      <c r="B24" s="201" t="s">
        <v>45</v>
      </c>
      <c r="C24" s="201" t="s">
        <v>46</v>
      </c>
      <c r="D24" s="201" t="s">
        <v>47</v>
      </c>
      <c r="E24" s="200" t="s">
        <v>23</v>
      </c>
      <c r="F24" s="201" t="s">
        <v>49</v>
      </c>
      <c r="G24" s="201" t="s">
        <v>50</v>
      </c>
      <c r="H24" s="202"/>
      <c r="I24" s="203">
        <v>1000000</v>
      </c>
    </row>
    <row r="25" spans="1:9" ht="15.75" x14ac:dyDescent="0.25">
      <c r="A25" s="227" t="s">
        <v>51</v>
      </c>
      <c r="B25" s="201" t="s">
        <v>45</v>
      </c>
      <c r="C25" s="201" t="s">
        <v>46</v>
      </c>
      <c r="D25" s="201" t="s">
        <v>47</v>
      </c>
      <c r="E25" s="200" t="s">
        <v>23</v>
      </c>
      <c r="F25" s="201"/>
      <c r="G25" s="201"/>
      <c r="H25" s="202"/>
      <c r="I25" s="203">
        <v>8364900</v>
      </c>
    </row>
    <row r="26" spans="1:9" ht="15.75" x14ac:dyDescent="0.25">
      <c r="A26" s="225" t="s">
        <v>52</v>
      </c>
      <c r="B26" s="201" t="s">
        <v>45</v>
      </c>
      <c r="C26" s="201" t="s">
        <v>46</v>
      </c>
      <c r="D26" s="201" t="s">
        <v>47</v>
      </c>
      <c r="E26" s="200" t="s">
        <v>23</v>
      </c>
      <c r="F26" s="201" t="s">
        <v>53</v>
      </c>
      <c r="G26" s="201" t="s">
        <v>54</v>
      </c>
      <c r="H26" s="202"/>
      <c r="I26" s="203">
        <f>I23*30.28/100</f>
        <v>50838520.004800007</v>
      </c>
    </row>
    <row r="27" spans="1:9" ht="31.5" x14ac:dyDescent="0.25">
      <c r="A27" s="234" t="s">
        <v>494</v>
      </c>
      <c r="B27" s="235"/>
      <c r="C27" s="221"/>
      <c r="D27" s="221"/>
      <c r="E27" s="157"/>
      <c r="F27" s="221">
        <v>200</v>
      </c>
      <c r="G27" s="221"/>
      <c r="H27" s="236"/>
      <c r="I27" s="26">
        <f>I28+I33+I35</f>
        <v>51780487</v>
      </c>
    </row>
    <row r="28" spans="1:9" ht="31.5" x14ac:dyDescent="0.25">
      <c r="A28" s="237" t="s">
        <v>495</v>
      </c>
      <c r="B28" s="235"/>
      <c r="C28" s="221"/>
      <c r="D28" s="221"/>
      <c r="E28" s="157"/>
      <c r="F28" s="221"/>
      <c r="G28" s="221"/>
      <c r="H28" s="236"/>
      <c r="I28" s="26">
        <f>I29+I30+I31+I32</f>
        <v>3559010</v>
      </c>
    </row>
    <row r="29" spans="1:9" ht="15.75" x14ac:dyDescent="0.25">
      <c r="A29" s="208" t="s">
        <v>24</v>
      </c>
      <c r="B29" s="201" t="s">
        <v>45</v>
      </c>
      <c r="C29" s="201" t="s">
        <v>46</v>
      </c>
      <c r="D29" s="201" t="s">
        <v>47</v>
      </c>
      <c r="E29" s="200" t="s">
        <v>23</v>
      </c>
      <c r="F29" s="183" t="s">
        <v>25</v>
      </c>
      <c r="G29" s="35" t="s">
        <v>55</v>
      </c>
      <c r="H29" s="18"/>
      <c r="I29" s="25">
        <f>900000*1.15</f>
        <v>1034999.9999999999</v>
      </c>
    </row>
    <row r="30" spans="1:9" ht="15.75" x14ac:dyDescent="0.25">
      <c r="A30" s="208" t="s">
        <v>26</v>
      </c>
      <c r="B30" s="201" t="s">
        <v>45</v>
      </c>
      <c r="C30" s="201" t="s">
        <v>46</v>
      </c>
      <c r="D30" s="201" t="s">
        <v>47</v>
      </c>
      <c r="E30" s="200" t="s">
        <v>23</v>
      </c>
      <c r="F30" s="19"/>
      <c r="G30" s="19" t="s">
        <v>56</v>
      </c>
      <c r="H30" s="18"/>
      <c r="I30" s="25">
        <v>556000</v>
      </c>
    </row>
    <row r="31" spans="1:9" ht="15.75" x14ac:dyDescent="0.25">
      <c r="A31" s="208" t="s">
        <v>486</v>
      </c>
      <c r="B31" s="201" t="s">
        <v>45</v>
      </c>
      <c r="C31" s="201" t="s">
        <v>46</v>
      </c>
      <c r="D31" s="201" t="s">
        <v>47</v>
      </c>
      <c r="E31" s="200" t="s">
        <v>23</v>
      </c>
      <c r="F31" s="19"/>
      <c r="G31" s="19" t="s">
        <v>57</v>
      </c>
      <c r="H31" s="18"/>
      <c r="I31" s="25">
        <v>1768010</v>
      </c>
    </row>
    <row r="32" spans="1:9" ht="15.75" x14ac:dyDescent="0.25">
      <c r="A32" s="208" t="s">
        <v>30</v>
      </c>
      <c r="B32" s="201" t="s">
        <v>45</v>
      </c>
      <c r="C32" s="201" t="s">
        <v>46</v>
      </c>
      <c r="D32" s="201" t="s">
        <v>47</v>
      </c>
      <c r="E32" s="200" t="s">
        <v>23</v>
      </c>
      <c r="F32" s="19"/>
      <c r="G32" s="19" t="s">
        <v>58</v>
      </c>
      <c r="H32" s="18"/>
      <c r="I32" s="25" t="s">
        <v>59</v>
      </c>
    </row>
    <row r="33" spans="1:9" ht="47.25" x14ac:dyDescent="0.25">
      <c r="A33" s="239" t="s">
        <v>497</v>
      </c>
      <c r="B33" s="201"/>
      <c r="C33" s="201"/>
      <c r="D33" s="201"/>
      <c r="E33" s="200"/>
      <c r="F33" s="19"/>
      <c r="G33" s="19"/>
      <c r="H33" s="18"/>
      <c r="I33" s="26">
        <f>I34</f>
        <v>2800000</v>
      </c>
    </row>
    <row r="34" spans="1:9" ht="15.75" x14ac:dyDescent="0.25">
      <c r="A34" s="208" t="s">
        <v>487</v>
      </c>
      <c r="B34" s="201" t="s">
        <v>45</v>
      </c>
      <c r="C34" s="201" t="s">
        <v>46</v>
      </c>
      <c r="D34" s="201" t="s">
        <v>47</v>
      </c>
      <c r="E34" s="200" t="s">
        <v>23</v>
      </c>
      <c r="F34" s="183" t="s">
        <v>28</v>
      </c>
      <c r="G34" s="19">
        <v>225</v>
      </c>
      <c r="H34" s="18"/>
      <c r="I34" s="25">
        <v>2800000</v>
      </c>
    </row>
    <row r="35" spans="1:9" ht="31.5" x14ac:dyDescent="0.25">
      <c r="A35" s="238" t="s">
        <v>496</v>
      </c>
      <c r="B35" s="201"/>
      <c r="C35" s="201"/>
      <c r="D35" s="201"/>
      <c r="E35" s="200"/>
      <c r="F35" s="183"/>
      <c r="G35" s="19"/>
      <c r="H35" s="18"/>
      <c r="I35" s="26">
        <f>I36+I37+I38+I39+I40+I41</f>
        <v>45421477</v>
      </c>
    </row>
    <row r="36" spans="1:9" ht="15.75" x14ac:dyDescent="0.25">
      <c r="A36" s="209" t="s">
        <v>60</v>
      </c>
      <c r="B36" s="201" t="s">
        <v>45</v>
      </c>
      <c r="C36" s="201" t="s">
        <v>46</v>
      </c>
      <c r="D36" s="201" t="s">
        <v>47</v>
      </c>
      <c r="E36" s="200" t="s">
        <v>23</v>
      </c>
      <c r="F36" s="19" t="s">
        <v>61</v>
      </c>
      <c r="G36" s="19" t="s">
        <v>62</v>
      </c>
      <c r="H36" s="18"/>
      <c r="I36" s="25">
        <v>2100000</v>
      </c>
    </row>
    <row r="37" spans="1:9" ht="31.5" x14ac:dyDescent="0.25">
      <c r="A37" s="208" t="s">
        <v>491</v>
      </c>
      <c r="B37" s="201" t="s">
        <v>45</v>
      </c>
      <c r="C37" s="201" t="s">
        <v>46</v>
      </c>
      <c r="D37" s="201" t="s">
        <v>47</v>
      </c>
      <c r="E37" s="200" t="s">
        <v>23</v>
      </c>
      <c r="F37" s="19"/>
      <c r="G37" s="19" t="s">
        <v>63</v>
      </c>
      <c r="H37" s="18"/>
      <c r="I37" s="25">
        <v>1000000</v>
      </c>
    </row>
    <row r="38" spans="1:9" ht="15.75" x14ac:dyDescent="0.25">
      <c r="A38" s="208" t="s">
        <v>487</v>
      </c>
      <c r="B38" s="201" t="s">
        <v>45</v>
      </c>
      <c r="C38" s="201" t="s">
        <v>46</v>
      </c>
      <c r="D38" s="201" t="s">
        <v>47</v>
      </c>
      <c r="E38" s="200" t="s">
        <v>23</v>
      </c>
      <c r="F38" s="17"/>
      <c r="G38" s="19" t="s">
        <v>64</v>
      </c>
      <c r="H38" s="18"/>
      <c r="I38" s="25">
        <v>630000</v>
      </c>
    </row>
    <row r="39" spans="1:9" ht="15.75" x14ac:dyDescent="0.25">
      <c r="A39" s="209" t="s">
        <v>484</v>
      </c>
      <c r="B39" s="201" t="s">
        <v>45</v>
      </c>
      <c r="C39" s="201" t="s">
        <v>46</v>
      </c>
      <c r="D39" s="201" t="s">
        <v>47</v>
      </c>
      <c r="E39" s="200" t="s">
        <v>23</v>
      </c>
      <c r="F39" s="17"/>
      <c r="G39" s="19" t="s">
        <v>56</v>
      </c>
      <c r="H39" s="18"/>
      <c r="I39" s="25">
        <v>2200000</v>
      </c>
    </row>
    <row r="40" spans="1:9" ht="15.75" x14ac:dyDescent="0.25">
      <c r="A40" s="209" t="s">
        <v>485</v>
      </c>
      <c r="B40" s="201" t="s">
        <v>45</v>
      </c>
      <c r="C40" s="201" t="s">
        <v>46</v>
      </c>
      <c r="D40" s="201" t="s">
        <v>47</v>
      </c>
      <c r="E40" s="200" t="s">
        <v>23</v>
      </c>
      <c r="F40" s="19"/>
      <c r="G40" s="19" t="s">
        <v>57</v>
      </c>
      <c r="H40" s="18"/>
      <c r="I40" s="25">
        <v>31247500</v>
      </c>
    </row>
    <row r="41" spans="1:9" ht="15.75" x14ac:dyDescent="0.25">
      <c r="A41" s="208" t="s">
        <v>30</v>
      </c>
      <c r="B41" s="201" t="s">
        <v>45</v>
      </c>
      <c r="C41" s="201" t="s">
        <v>46</v>
      </c>
      <c r="D41" s="201" t="s">
        <v>47</v>
      </c>
      <c r="E41" s="200" t="s">
        <v>23</v>
      </c>
      <c r="F41" s="19"/>
      <c r="G41" s="19" t="s">
        <v>58</v>
      </c>
      <c r="H41" s="18"/>
      <c r="I41" s="25">
        <v>8243977</v>
      </c>
    </row>
    <row r="42" spans="1:9" ht="31.5" x14ac:dyDescent="0.25">
      <c r="A42" s="224" t="s">
        <v>498</v>
      </c>
      <c r="B42" s="219"/>
      <c r="C42" s="219"/>
      <c r="D42" s="219"/>
      <c r="E42" s="220"/>
      <c r="F42" s="221">
        <v>800</v>
      </c>
      <c r="G42" s="221"/>
      <c r="H42" s="222"/>
      <c r="I42" s="26">
        <f>I43+I44+I45</f>
        <v>4658000</v>
      </c>
    </row>
    <row r="43" spans="1:9" ht="15.75" x14ac:dyDescent="0.25">
      <c r="A43" s="207" t="s">
        <v>68</v>
      </c>
      <c r="B43" s="201" t="s">
        <v>45</v>
      </c>
      <c r="C43" s="201" t="s">
        <v>46</v>
      </c>
      <c r="D43" s="201" t="s">
        <v>47</v>
      </c>
      <c r="E43" s="200" t="s">
        <v>23</v>
      </c>
      <c r="F43" s="19" t="s">
        <v>69</v>
      </c>
      <c r="G43" s="19" t="s">
        <v>70</v>
      </c>
      <c r="H43" s="18"/>
      <c r="I43" s="25">
        <v>4364000</v>
      </c>
    </row>
    <row r="44" spans="1:9" ht="15.75" x14ac:dyDescent="0.25">
      <c r="A44" s="207" t="s">
        <v>71</v>
      </c>
      <c r="B44" s="201" t="s">
        <v>45</v>
      </c>
      <c r="C44" s="201" t="s">
        <v>46</v>
      </c>
      <c r="D44" s="201" t="s">
        <v>47</v>
      </c>
      <c r="E44" s="200" t="s">
        <v>23</v>
      </c>
      <c r="F44" s="19" t="s">
        <v>72</v>
      </c>
      <c r="G44" s="19" t="s">
        <v>70</v>
      </c>
      <c r="H44" s="18"/>
      <c r="I44" s="25">
        <v>84000</v>
      </c>
    </row>
    <row r="45" spans="1:9" ht="15.75" x14ac:dyDescent="0.25">
      <c r="A45" s="207" t="s">
        <v>73</v>
      </c>
      <c r="B45" s="201" t="s">
        <v>45</v>
      </c>
      <c r="C45" s="201" t="s">
        <v>46</v>
      </c>
      <c r="D45" s="201" t="s">
        <v>47</v>
      </c>
      <c r="E45" s="200" t="s">
        <v>23</v>
      </c>
      <c r="F45" s="19" t="s">
        <v>74</v>
      </c>
      <c r="G45" s="19" t="s">
        <v>70</v>
      </c>
      <c r="H45" s="18"/>
      <c r="I45" s="25">
        <v>210000</v>
      </c>
    </row>
    <row r="46" spans="1:9" ht="31.5" x14ac:dyDescent="0.25">
      <c r="A46" s="224" t="s">
        <v>501</v>
      </c>
      <c r="B46" s="19" t="s">
        <v>45</v>
      </c>
      <c r="C46" s="19" t="s">
        <v>46</v>
      </c>
      <c r="D46" s="19" t="s">
        <v>47</v>
      </c>
      <c r="E46" s="183" t="s">
        <v>499</v>
      </c>
      <c r="F46" s="221"/>
      <c r="G46" s="221">
        <v>225</v>
      </c>
      <c r="H46" s="222"/>
      <c r="I46" s="26" t="s">
        <v>76</v>
      </c>
    </row>
    <row r="47" spans="1:9" ht="15.75" x14ac:dyDescent="0.25">
      <c r="A47" s="224" t="s">
        <v>500</v>
      </c>
      <c r="B47" s="19" t="s">
        <v>45</v>
      </c>
      <c r="C47" s="19" t="s">
        <v>46</v>
      </c>
      <c r="D47" s="19" t="s">
        <v>47</v>
      </c>
      <c r="E47" s="35" t="s">
        <v>31</v>
      </c>
      <c r="F47" s="221" t="s">
        <v>492</v>
      </c>
      <c r="G47" s="19"/>
      <c r="H47" s="20"/>
      <c r="I47" s="26">
        <v>4553000</v>
      </c>
    </row>
    <row r="48" spans="1:9" ht="15.75" x14ac:dyDescent="0.25">
      <c r="A48" s="228" t="s">
        <v>79</v>
      </c>
      <c r="B48" s="19"/>
      <c r="C48" s="19"/>
      <c r="D48" s="19"/>
      <c r="E48" s="35"/>
      <c r="F48" s="19"/>
      <c r="G48" s="21"/>
      <c r="H48" s="22"/>
      <c r="I48" s="79">
        <f>I22+I27+I42+I46+I47</f>
        <v>497089623.00480002</v>
      </c>
    </row>
    <row r="49" spans="1:9" x14ac:dyDescent="0.25">
      <c r="A49" s="250"/>
      <c r="B49" s="244"/>
      <c r="C49" s="244"/>
      <c r="D49" s="244"/>
      <c r="E49" s="251"/>
      <c r="F49" s="244"/>
      <c r="G49" s="244"/>
      <c r="H49" s="244"/>
      <c r="I49" s="56"/>
    </row>
    <row r="50" spans="1:9" x14ac:dyDescent="0.25">
      <c r="A50" s="210" t="s">
        <v>32</v>
      </c>
      <c r="B50" s="317" t="s">
        <v>482</v>
      </c>
      <c r="C50" s="317"/>
      <c r="D50" s="317"/>
      <c r="E50" s="10"/>
      <c r="F50" s="38"/>
      <c r="G50" s="314" t="s">
        <v>77</v>
      </c>
      <c r="H50" s="314"/>
      <c r="I50" s="57"/>
    </row>
    <row r="51" spans="1:9" x14ac:dyDescent="0.25">
      <c r="A51" s="210" t="s">
        <v>33</v>
      </c>
      <c r="B51" s="315" t="s">
        <v>34</v>
      </c>
      <c r="C51" s="315"/>
      <c r="D51" s="38"/>
      <c r="E51" s="51" t="s">
        <v>7</v>
      </c>
      <c r="F51" s="38"/>
      <c r="G51" s="316" t="s">
        <v>78</v>
      </c>
      <c r="H51" s="316"/>
      <c r="I51" s="57"/>
    </row>
    <row r="52" spans="1:9" x14ac:dyDescent="0.25">
      <c r="A52" s="211"/>
      <c r="B52" s="247"/>
      <c r="C52" s="247"/>
      <c r="D52" s="247"/>
      <c r="E52" s="51"/>
      <c r="F52" s="247"/>
      <c r="G52" s="247"/>
      <c r="H52" s="8"/>
      <c r="I52" s="78"/>
    </row>
    <row r="53" spans="1:9" x14ac:dyDescent="0.25">
      <c r="A53" s="210" t="s">
        <v>35</v>
      </c>
      <c r="B53" s="248" t="s">
        <v>483</v>
      </c>
      <c r="C53" s="246"/>
      <c r="D53" s="246"/>
      <c r="E53" s="10"/>
      <c r="F53" s="38"/>
      <c r="G53" s="314" t="s">
        <v>36</v>
      </c>
      <c r="H53" s="314"/>
      <c r="I53" s="57"/>
    </row>
    <row r="54" spans="1:9" x14ac:dyDescent="0.25">
      <c r="A54" s="249" t="s">
        <v>41</v>
      </c>
      <c r="B54" s="315" t="s">
        <v>34</v>
      </c>
      <c r="C54" s="315"/>
      <c r="D54" s="247"/>
      <c r="E54" s="51" t="s">
        <v>7</v>
      </c>
      <c r="F54" s="247"/>
      <c r="G54" s="316" t="s">
        <v>78</v>
      </c>
      <c r="H54" s="316"/>
      <c r="I54" s="78"/>
    </row>
    <row r="55" spans="1:9" ht="15.75" x14ac:dyDescent="0.25">
      <c r="A55" s="43"/>
      <c r="B55" s="14"/>
      <c r="C55" s="187"/>
      <c r="D55" s="192"/>
      <c r="E55" s="52"/>
      <c r="F55" s="188"/>
      <c r="G55" s="41"/>
      <c r="H55" s="14"/>
      <c r="I55" s="29"/>
    </row>
    <row r="56" spans="1:9" ht="15.75" x14ac:dyDescent="0.25">
      <c r="A56" s="43"/>
      <c r="B56" s="14"/>
      <c r="C56" s="187"/>
      <c r="D56" s="192"/>
      <c r="E56" s="52"/>
      <c r="F56" s="188"/>
      <c r="G56" s="41"/>
      <c r="H56" s="14"/>
      <c r="I56" s="29"/>
    </row>
    <row r="57" spans="1:9" ht="15.75" x14ac:dyDescent="0.25">
      <c r="A57" s="43"/>
      <c r="B57" s="14"/>
      <c r="C57" s="187"/>
      <c r="D57" s="192"/>
      <c r="E57" s="52"/>
      <c r="F57" s="188"/>
      <c r="G57" s="41"/>
      <c r="H57" s="14"/>
      <c r="I57" s="29"/>
    </row>
    <row r="58" spans="1:9" ht="15.75" x14ac:dyDescent="0.25">
      <c r="A58" s="193"/>
      <c r="B58" s="14"/>
      <c r="C58" s="187"/>
      <c r="D58" s="192"/>
      <c r="E58" s="52"/>
      <c r="F58" s="188"/>
      <c r="G58" s="41"/>
      <c r="H58" s="14"/>
      <c r="I58" s="29"/>
    </row>
    <row r="59" spans="1:9" ht="15.75" x14ac:dyDescent="0.25">
      <c r="A59" s="43"/>
      <c r="B59" s="14"/>
      <c r="C59" s="187"/>
      <c r="D59" s="192"/>
      <c r="E59" s="52"/>
      <c r="F59" s="188"/>
      <c r="G59" s="41"/>
      <c r="H59" s="14"/>
      <c r="I59" s="29"/>
    </row>
    <row r="60" spans="1:9" ht="15.75" x14ac:dyDescent="0.25">
      <c r="A60" s="194"/>
      <c r="B60" s="28"/>
      <c r="C60" s="28"/>
      <c r="D60" s="28"/>
      <c r="E60" s="52"/>
      <c r="F60" s="34"/>
      <c r="G60" s="41"/>
      <c r="H60" s="14"/>
      <c r="I60" s="29"/>
    </row>
    <row r="61" spans="1:9" ht="15.75" x14ac:dyDescent="0.25">
      <c r="A61" s="43"/>
      <c r="B61" s="14"/>
      <c r="C61" s="187"/>
      <c r="D61" s="192"/>
      <c r="E61" s="52"/>
      <c r="F61" s="188"/>
      <c r="G61" s="41"/>
      <c r="H61" s="14"/>
      <c r="I61" s="29"/>
    </row>
    <row r="62" spans="1:9" ht="15.75" x14ac:dyDescent="0.25">
      <c r="A62" s="43"/>
      <c r="B62" s="14"/>
      <c r="C62" s="187"/>
      <c r="D62" s="192"/>
      <c r="E62" s="52"/>
      <c r="F62" s="188"/>
      <c r="G62" s="41"/>
      <c r="H62" s="14"/>
      <c r="I62" s="29"/>
    </row>
    <row r="63" spans="1:9" ht="15.75" x14ac:dyDescent="0.25">
      <c r="A63" s="43"/>
      <c r="B63" s="14"/>
      <c r="C63" s="187"/>
      <c r="D63" s="192"/>
      <c r="E63" s="52"/>
      <c r="F63" s="188"/>
      <c r="G63" s="41"/>
      <c r="H63" s="14"/>
      <c r="I63" s="29"/>
    </row>
    <row r="64" spans="1:9" ht="15.75" x14ac:dyDescent="0.25">
      <c r="A64" s="43"/>
      <c r="B64" s="14"/>
      <c r="C64" s="187"/>
      <c r="D64" s="192"/>
      <c r="E64" s="52"/>
      <c r="F64" s="188"/>
      <c r="G64" s="41"/>
      <c r="H64" s="14"/>
      <c r="I64" s="29"/>
    </row>
    <row r="65" spans="1:9" ht="15.75" x14ac:dyDescent="0.25">
      <c r="A65" s="43"/>
      <c r="B65" s="14"/>
      <c r="C65" s="187"/>
      <c r="D65" s="192"/>
      <c r="E65" s="52"/>
      <c r="F65" s="188"/>
      <c r="G65" s="41"/>
      <c r="H65" s="14"/>
      <c r="I65" s="29"/>
    </row>
    <row r="66" spans="1:9" ht="15.75" x14ac:dyDescent="0.25">
      <c r="A66" s="43"/>
      <c r="B66" s="14"/>
      <c r="C66" s="187"/>
      <c r="D66" s="192"/>
      <c r="E66" s="52"/>
      <c r="F66" s="188"/>
      <c r="G66" s="41"/>
      <c r="H66" s="14"/>
      <c r="I66" s="29"/>
    </row>
    <row r="67" spans="1:9" ht="15.75" x14ac:dyDescent="0.25">
      <c r="A67" s="43"/>
      <c r="B67" s="14"/>
      <c r="C67" s="187"/>
      <c r="D67" s="192"/>
      <c r="E67" s="52"/>
      <c r="F67" s="188"/>
      <c r="G67" s="41"/>
      <c r="H67" s="14"/>
      <c r="I67" s="29"/>
    </row>
    <row r="68" spans="1:9" ht="15.75" x14ac:dyDescent="0.25">
      <c r="A68" s="43"/>
      <c r="B68" s="14"/>
      <c r="C68" s="187"/>
      <c r="D68" s="192"/>
      <c r="E68" s="52"/>
      <c r="F68" s="188"/>
      <c r="G68" s="41"/>
      <c r="H68" s="14"/>
      <c r="I68" s="29"/>
    </row>
    <row r="69" spans="1:9" ht="15.75" x14ac:dyDescent="0.25">
      <c r="A69" s="43"/>
      <c r="B69" s="14"/>
      <c r="C69" s="187"/>
      <c r="D69" s="192"/>
      <c r="E69" s="52"/>
      <c r="F69" s="188"/>
      <c r="G69" s="41"/>
      <c r="H69" s="14"/>
      <c r="I69" s="29"/>
    </row>
    <row r="70" spans="1:9" ht="15.75" x14ac:dyDescent="0.25">
      <c r="A70" s="43"/>
      <c r="B70" s="14"/>
      <c r="C70" s="187"/>
      <c r="D70" s="192"/>
      <c r="E70" s="52"/>
      <c r="F70" s="188"/>
      <c r="G70" s="41"/>
      <c r="H70" s="14"/>
      <c r="I70" s="29"/>
    </row>
    <row r="71" spans="1:9" ht="15.75" x14ac:dyDescent="0.25">
      <c r="A71" s="43"/>
      <c r="B71" s="14"/>
      <c r="C71" s="187"/>
      <c r="D71" s="192"/>
      <c r="E71" s="52"/>
      <c r="F71" s="188"/>
      <c r="G71" s="41"/>
      <c r="H71" s="14"/>
      <c r="I71" s="29"/>
    </row>
    <row r="72" spans="1:9" ht="15.75" x14ac:dyDescent="0.25">
      <c r="A72" s="43"/>
      <c r="B72" s="14"/>
      <c r="C72" s="187"/>
      <c r="D72" s="192"/>
      <c r="E72" s="52"/>
      <c r="F72" s="188"/>
      <c r="G72" s="41"/>
      <c r="H72" s="14"/>
      <c r="I72" s="29"/>
    </row>
    <row r="73" spans="1:9" ht="15.75" x14ac:dyDescent="0.25">
      <c r="A73" s="43"/>
      <c r="B73" s="14"/>
      <c r="C73" s="187"/>
      <c r="D73" s="192"/>
      <c r="E73" s="52"/>
      <c r="F73" s="188"/>
      <c r="G73" s="41"/>
      <c r="H73" s="14"/>
      <c r="I73" s="29"/>
    </row>
    <row r="74" spans="1:9" ht="15.75" x14ac:dyDescent="0.25">
      <c r="A74" s="43"/>
      <c r="B74" s="14"/>
      <c r="C74" s="187"/>
      <c r="D74" s="192"/>
      <c r="E74" s="52"/>
      <c r="F74" s="188"/>
      <c r="G74" s="41"/>
      <c r="H74" s="14"/>
      <c r="I74" s="29"/>
    </row>
    <row r="75" spans="1:9" ht="15.75" x14ac:dyDescent="0.25">
      <c r="A75" s="43"/>
      <c r="B75" s="14"/>
      <c r="C75" s="187"/>
      <c r="D75" s="192"/>
      <c r="E75" s="52"/>
      <c r="F75" s="188"/>
      <c r="G75" s="41"/>
      <c r="H75" s="14"/>
      <c r="I75" s="29"/>
    </row>
    <row r="76" spans="1:9" ht="15.75" x14ac:dyDescent="0.25">
      <c r="A76" s="195"/>
      <c r="B76" s="13"/>
      <c r="C76" s="13"/>
      <c r="D76" s="13"/>
      <c r="E76" s="52"/>
      <c r="F76" s="34"/>
      <c r="G76" s="41"/>
      <c r="H76" s="14"/>
      <c r="I76" s="190"/>
    </row>
    <row r="77" spans="1:9" ht="15.75" x14ac:dyDescent="0.25">
      <c r="A77" s="43"/>
      <c r="B77" s="196"/>
      <c r="C77" s="191"/>
      <c r="D77" s="185"/>
      <c r="E77" s="52"/>
      <c r="F77" s="41"/>
      <c r="G77" s="41"/>
      <c r="H77" s="14"/>
      <c r="I77" s="29"/>
    </row>
    <row r="78" spans="1:9" ht="15.75" x14ac:dyDescent="0.25">
      <c r="A78" s="43"/>
      <c r="B78" s="196"/>
      <c r="C78" s="191"/>
      <c r="D78" s="185"/>
      <c r="E78" s="52"/>
      <c r="F78" s="41"/>
      <c r="G78" s="41"/>
      <c r="H78" s="14"/>
      <c r="I78" s="29"/>
    </row>
    <row r="79" spans="1:9" ht="15.75" x14ac:dyDescent="0.25">
      <c r="A79" s="43"/>
      <c r="B79" s="196"/>
      <c r="C79" s="191"/>
      <c r="D79" s="185"/>
      <c r="E79" s="52"/>
      <c r="F79" s="41"/>
      <c r="G79" s="41"/>
      <c r="H79" s="14"/>
      <c r="I79" s="29"/>
    </row>
    <row r="80" spans="1:9" ht="15.75" x14ac:dyDescent="0.25">
      <c r="A80" s="195"/>
      <c r="B80" s="196"/>
      <c r="C80" s="191"/>
      <c r="D80" s="185"/>
      <c r="E80" s="52"/>
      <c r="F80" s="41"/>
      <c r="G80" s="41"/>
      <c r="H80" s="14"/>
      <c r="I80" s="190"/>
    </row>
    <row r="81" spans="1:9" ht="15.75" x14ac:dyDescent="0.25">
      <c r="A81" s="43"/>
      <c r="B81" s="191"/>
      <c r="C81" s="185"/>
      <c r="D81" s="185"/>
      <c r="E81" s="52"/>
      <c r="F81" s="188"/>
      <c r="G81" s="41"/>
      <c r="H81" s="14"/>
      <c r="I81" s="30"/>
    </row>
    <row r="82" spans="1:9" ht="15.75" x14ac:dyDescent="0.25">
      <c r="A82" s="43"/>
      <c r="B82" s="191"/>
      <c r="C82" s="43"/>
      <c r="D82" s="185"/>
      <c r="E82" s="52"/>
      <c r="F82" s="41"/>
      <c r="G82" s="41"/>
      <c r="H82" s="65"/>
      <c r="I82" s="30"/>
    </row>
    <row r="83" spans="1:9" ht="15.75" x14ac:dyDescent="0.25">
      <c r="A83" s="189"/>
      <c r="B83" s="187"/>
      <c r="C83" s="187"/>
      <c r="D83" s="192"/>
      <c r="E83" s="52"/>
      <c r="F83" s="188"/>
      <c r="G83" s="13"/>
      <c r="H83" s="13"/>
      <c r="I83" s="197"/>
    </row>
    <row r="84" spans="1:9" x14ac:dyDescent="0.25">
      <c r="A84" s="44"/>
      <c r="B84" s="12"/>
      <c r="C84" s="12"/>
      <c r="D84" s="12"/>
      <c r="E84" s="48"/>
      <c r="F84" s="12"/>
      <c r="G84" s="12"/>
      <c r="H84" s="12"/>
      <c r="I84" s="56"/>
    </row>
    <row r="85" spans="1:9" x14ac:dyDescent="0.25">
      <c r="A85" s="60"/>
      <c r="B85" s="7"/>
      <c r="C85" s="7"/>
      <c r="D85" s="7"/>
      <c r="E85" s="198"/>
      <c r="F85" s="38"/>
      <c r="G85" s="314"/>
      <c r="H85" s="314"/>
      <c r="I85" s="57"/>
    </row>
    <row r="86" spans="1:9" x14ac:dyDescent="0.25">
      <c r="A86" s="60"/>
      <c r="B86" s="316"/>
      <c r="C86" s="316"/>
      <c r="D86" s="3"/>
      <c r="E86" s="62"/>
      <c r="F86" s="55"/>
      <c r="G86" s="316"/>
      <c r="H86" s="316"/>
      <c r="I86" s="57"/>
    </row>
    <row r="87" spans="1:9" x14ac:dyDescent="0.25">
      <c r="A87" s="61"/>
      <c r="B87" s="8"/>
      <c r="C87" s="8"/>
      <c r="D87" s="8"/>
      <c r="E87" s="51"/>
      <c r="F87" s="31"/>
      <c r="G87" s="39"/>
      <c r="H87" s="8"/>
      <c r="I87" s="78"/>
    </row>
    <row r="88" spans="1:9" x14ac:dyDescent="0.25">
      <c r="A88" s="60"/>
      <c r="B88" s="3"/>
      <c r="C88" s="3"/>
      <c r="D88" s="3"/>
      <c r="E88" s="198"/>
      <c r="F88" s="55"/>
      <c r="G88" s="314"/>
      <c r="H88" s="314"/>
      <c r="I88" s="57"/>
    </row>
    <row r="89" spans="1:9" x14ac:dyDescent="0.25">
      <c r="A89" s="6"/>
      <c r="B89" s="316"/>
      <c r="C89" s="316"/>
      <c r="D89" s="8"/>
      <c r="E89" s="51"/>
      <c r="F89" s="31"/>
      <c r="G89" s="316"/>
      <c r="H89" s="316"/>
      <c r="I89" s="78"/>
    </row>
    <row r="90" spans="1:9" x14ac:dyDescent="0.25">
      <c r="A90" s="199"/>
      <c r="B90" s="9"/>
      <c r="C90" s="5"/>
      <c r="D90" s="132"/>
      <c r="E90" s="48"/>
      <c r="F90" s="12"/>
      <c r="G90" s="12"/>
      <c r="H90" s="132"/>
      <c r="I90" s="58"/>
    </row>
    <row r="91" spans="1:9" x14ac:dyDescent="0.25">
      <c r="A91" s="1"/>
      <c r="B91" s="2"/>
      <c r="C91" s="2"/>
      <c r="D91" s="2"/>
      <c r="E91" s="50"/>
      <c r="F91" s="33"/>
      <c r="G91" s="33"/>
      <c r="H91" s="2"/>
      <c r="I91" s="59"/>
    </row>
  </sheetData>
  <mergeCells count="38">
    <mergeCell ref="B89:C89"/>
    <mergeCell ref="G89:H89"/>
    <mergeCell ref="B13:I13"/>
    <mergeCell ref="G85:H85"/>
    <mergeCell ref="B86:C86"/>
    <mergeCell ref="G86:H86"/>
    <mergeCell ref="G88:H88"/>
    <mergeCell ref="B14:I14"/>
    <mergeCell ref="B15:I15"/>
    <mergeCell ref="B16:I16"/>
    <mergeCell ref="B17:I17"/>
    <mergeCell ref="B18:I18"/>
    <mergeCell ref="B51:C51"/>
    <mergeCell ref="G51:H51"/>
    <mergeCell ref="G53:H53"/>
    <mergeCell ref="B54:C54"/>
    <mergeCell ref="E3:I3"/>
    <mergeCell ref="E1:I1"/>
    <mergeCell ref="A2:B2"/>
    <mergeCell ref="E2:I2"/>
    <mergeCell ref="A3:B3"/>
    <mergeCell ref="E4:I4"/>
    <mergeCell ref="A5:B5"/>
    <mergeCell ref="E5:I5"/>
    <mergeCell ref="E6:I6"/>
    <mergeCell ref="A7:B7"/>
    <mergeCell ref="E8:F8"/>
    <mergeCell ref="E9:I9"/>
    <mergeCell ref="A11:I11"/>
    <mergeCell ref="F12:G12"/>
    <mergeCell ref="H12:I12"/>
    <mergeCell ref="G54:H54"/>
    <mergeCell ref="A19:A20"/>
    <mergeCell ref="B19:B20"/>
    <mergeCell ref="C19:H19"/>
    <mergeCell ref="I19:I20"/>
    <mergeCell ref="B50:D50"/>
    <mergeCell ref="G50:H50"/>
  </mergeCells>
  <printOptions horizontalCentered="1" verticalCentered="1"/>
  <pageMargins left="0.70866141732283472" right="0" top="0" bottom="0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opLeftCell="A10" zoomScaleNormal="100" workbookViewId="0">
      <selection activeCell="I22" sqref="I22"/>
    </sheetView>
  </sheetViews>
  <sheetFormatPr defaultRowHeight="15" x14ac:dyDescent="0.25"/>
  <cols>
    <col min="1" max="1" width="45.28515625" customWidth="1"/>
    <col min="2" max="3" width="7" customWidth="1"/>
    <col min="4" max="4" width="9" customWidth="1"/>
    <col min="5" max="5" width="15.140625" customWidth="1"/>
    <col min="6" max="6" width="8.140625" customWidth="1"/>
    <col min="7" max="7" width="7" customWidth="1"/>
    <col min="8" max="8" width="13.42578125" customWidth="1"/>
    <col min="9" max="9" width="21.28515625" customWidth="1"/>
  </cols>
  <sheetData>
    <row r="1" spans="1:9" x14ac:dyDescent="0.25">
      <c r="A1" s="204"/>
      <c r="B1" s="215"/>
      <c r="C1" s="215"/>
      <c r="D1" s="215"/>
      <c r="E1" s="292" t="s">
        <v>40</v>
      </c>
      <c r="F1" s="292"/>
      <c r="G1" s="292"/>
      <c r="H1" s="292"/>
      <c r="I1" s="292"/>
    </row>
    <row r="2" spans="1:9" x14ac:dyDescent="0.25">
      <c r="A2" s="293" t="s">
        <v>37</v>
      </c>
      <c r="B2" s="293"/>
      <c r="C2" s="242"/>
      <c r="D2" s="244"/>
      <c r="E2" s="294" t="s">
        <v>0</v>
      </c>
      <c r="F2" s="294"/>
      <c r="G2" s="294"/>
      <c r="H2" s="294"/>
      <c r="I2" s="294"/>
    </row>
    <row r="3" spans="1:9" x14ac:dyDescent="0.25">
      <c r="A3" s="295"/>
      <c r="B3" s="295"/>
      <c r="C3" s="38"/>
      <c r="D3" s="244"/>
      <c r="E3" s="295" t="s">
        <v>1</v>
      </c>
      <c r="F3" s="295"/>
      <c r="G3" s="295"/>
      <c r="H3" s="295"/>
      <c r="I3" s="295"/>
    </row>
    <row r="4" spans="1:9" x14ac:dyDescent="0.25">
      <c r="A4" s="205" t="s">
        <v>2</v>
      </c>
      <c r="B4" s="216"/>
      <c r="C4" s="247"/>
      <c r="D4" s="247"/>
      <c r="E4" s="291" t="s">
        <v>3</v>
      </c>
      <c r="F4" s="291"/>
      <c r="G4" s="291"/>
      <c r="H4" s="291"/>
      <c r="I4" s="291"/>
    </row>
    <row r="5" spans="1:9" x14ac:dyDescent="0.25">
      <c r="A5" s="295"/>
      <c r="B5" s="295"/>
      <c r="C5" s="38"/>
      <c r="D5" s="244"/>
      <c r="E5" s="297" t="s">
        <v>4</v>
      </c>
      <c r="F5" s="297"/>
      <c r="G5" s="297"/>
      <c r="H5" s="297"/>
      <c r="I5" s="297"/>
    </row>
    <row r="6" spans="1:9" x14ac:dyDescent="0.25">
      <c r="A6" s="205" t="s">
        <v>5</v>
      </c>
      <c r="B6" s="216"/>
      <c r="C6" s="247"/>
      <c r="D6" s="247"/>
      <c r="E6" s="291" t="s">
        <v>5</v>
      </c>
      <c r="F6" s="291"/>
      <c r="G6" s="291"/>
      <c r="H6" s="291"/>
      <c r="I6" s="291"/>
    </row>
    <row r="7" spans="1:9" x14ac:dyDescent="0.25">
      <c r="A7" s="297"/>
      <c r="B7" s="297"/>
      <c r="C7" s="38"/>
      <c r="D7" s="244"/>
      <c r="E7" s="49"/>
      <c r="F7" s="182"/>
      <c r="G7" s="244"/>
      <c r="H7" s="4" t="s">
        <v>6</v>
      </c>
      <c r="I7" s="76"/>
    </row>
    <row r="8" spans="1:9" x14ac:dyDescent="0.25">
      <c r="A8" s="205" t="s">
        <v>38</v>
      </c>
      <c r="B8" s="216"/>
      <c r="C8" s="247"/>
      <c r="D8" s="247"/>
      <c r="E8" s="298" t="s">
        <v>7</v>
      </c>
      <c r="F8" s="298"/>
      <c r="G8" s="247"/>
      <c r="H8" s="23" t="s">
        <v>8</v>
      </c>
      <c r="I8" s="77"/>
    </row>
    <row r="9" spans="1:9" x14ac:dyDescent="0.25">
      <c r="A9" s="243" t="s">
        <v>41</v>
      </c>
      <c r="B9" s="244"/>
      <c r="C9" s="217"/>
      <c r="D9" s="244"/>
      <c r="E9" s="299" t="s">
        <v>41</v>
      </c>
      <c r="F9" s="299"/>
      <c r="G9" s="299"/>
      <c r="H9" s="299"/>
      <c r="I9" s="299"/>
    </row>
    <row r="10" spans="1:9" x14ac:dyDescent="0.25">
      <c r="A10" s="243"/>
      <c r="B10" s="244"/>
      <c r="C10" s="217"/>
      <c r="D10" s="244"/>
      <c r="E10" s="243"/>
      <c r="F10" s="243"/>
      <c r="G10" s="243"/>
      <c r="H10" s="243"/>
      <c r="I10" s="243"/>
    </row>
    <row r="11" spans="1:9" ht="18.75" x14ac:dyDescent="0.3">
      <c r="A11" s="300" t="s">
        <v>507</v>
      </c>
      <c r="B11" s="300"/>
      <c r="C11" s="300"/>
      <c r="D11" s="300"/>
      <c r="E11" s="300"/>
      <c r="F11" s="300"/>
      <c r="G11" s="300"/>
      <c r="H11" s="300"/>
      <c r="I11" s="300"/>
    </row>
    <row r="12" spans="1:9" x14ac:dyDescent="0.25">
      <c r="A12" s="243"/>
      <c r="B12" s="244"/>
      <c r="C12" s="244"/>
      <c r="D12" s="244"/>
      <c r="E12" s="251"/>
      <c r="F12" s="301"/>
      <c r="G12" s="301"/>
      <c r="H12" s="302"/>
      <c r="I12" s="302"/>
    </row>
    <row r="13" spans="1:9" ht="33.75" customHeight="1" x14ac:dyDescent="0.25">
      <c r="A13" s="24" t="s">
        <v>9</v>
      </c>
      <c r="B13" s="303" t="s">
        <v>10</v>
      </c>
      <c r="C13" s="303"/>
      <c r="D13" s="303"/>
      <c r="E13" s="303"/>
      <c r="F13" s="303"/>
      <c r="G13" s="303"/>
      <c r="H13" s="303"/>
      <c r="I13" s="303"/>
    </row>
    <row r="14" spans="1:9" x14ac:dyDescent="0.25">
      <c r="A14" s="24" t="s">
        <v>11</v>
      </c>
      <c r="B14" s="318" t="s">
        <v>12</v>
      </c>
      <c r="C14" s="318"/>
      <c r="D14" s="318"/>
      <c r="E14" s="318"/>
      <c r="F14" s="318"/>
      <c r="G14" s="318"/>
      <c r="H14" s="318"/>
      <c r="I14" s="318"/>
    </row>
    <row r="15" spans="1:9" x14ac:dyDescent="0.25">
      <c r="A15" s="24" t="s">
        <v>13</v>
      </c>
      <c r="B15" s="318" t="s">
        <v>14</v>
      </c>
      <c r="C15" s="318"/>
      <c r="D15" s="318"/>
      <c r="E15" s="318"/>
      <c r="F15" s="318"/>
      <c r="G15" s="318"/>
      <c r="H15" s="318"/>
      <c r="I15" s="318"/>
    </row>
    <row r="16" spans="1:9" x14ac:dyDescent="0.25">
      <c r="A16" s="24" t="s">
        <v>15</v>
      </c>
      <c r="B16" s="318" t="s">
        <v>39</v>
      </c>
      <c r="C16" s="318"/>
      <c r="D16" s="318"/>
      <c r="E16" s="318"/>
      <c r="F16" s="318"/>
      <c r="G16" s="318"/>
      <c r="H16" s="318"/>
      <c r="I16" s="318"/>
    </row>
    <row r="17" spans="1:9" x14ac:dyDescent="0.25">
      <c r="A17" s="24" t="s">
        <v>198</v>
      </c>
      <c r="B17" s="318" t="s">
        <v>488</v>
      </c>
      <c r="C17" s="318"/>
      <c r="D17" s="318"/>
      <c r="E17" s="318"/>
      <c r="F17" s="318"/>
      <c r="G17" s="318"/>
      <c r="H17" s="318"/>
      <c r="I17" s="318"/>
    </row>
    <row r="18" spans="1:9" ht="15.75" thickBot="1" x14ac:dyDescent="0.3">
      <c r="A18" s="243"/>
      <c r="B18" s="305"/>
      <c r="C18" s="305"/>
      <c r="D18" s="305"/>
      <c r="E18" s="305"/>
      <c r="F18" s="305"/>
      <c r="G18" s="305"/>
      <c r="H18" s="305"/>
      <c r="I18" s="305"/>
    </row>
    <row r="19" spans="1:9" x14ac:dyDescent="0.25">
      <c r="A19" s="306" t="s">
        <v>16</v>
      </c>
      <c r="B19" s="308" t="s">
        <v>42</v>
      </c>
      <c r="C19" s="310" t="s">
        <v>17</v>
      </c>
      <c r="D19" s="311"/>
      <c r="E19" s="311"/>
      <c r="F19" s="311"/>
      <c r="G19" s="311"/>
      <c r="H19" s="312"/>
      <c r="I19" s="313" t="s">
        <v>490</v>
      </c>
    </row>
    <row r="20" spans="1:9" ht="47.25" customHeight="1" x14ac:dyDescent="0.25">
      <c r="A20" s="307"/>
      <c r="B20" s="309"/>
      <c r="C20" s="11" t="s">
        <v>18</v>
      </c>
      <c r="D20" s="11" t="s">
        <v>19</v>
      </c>
      <c r="E20" s="11" t="s">
        <v>20</v>
      </c>
      <c r="F20" s="11" t="s">
        <v>21</v>
      </c>
      <c r="G20" s="11" t="s">
        <v>22</v>
      </c>
      <c r="H20" s="11" t="s">
        <v>43</v>
      </c>
      <c r="I20" s="309"/>
    </row>
    <row r="21" spans="1:9" x14ac:dyDescent="0.25">
      <c r="A21" s="206">
        <v>1</v>
      </c>
      <c r="B21" s="15">
        <v>2</v>
      </c>
      <c r="C21" s="15">
        <v>3</v>
      </c>
      <c r="D21" s="15">
        <v>4</v>
      </c>
      <c r="E21" s="245">
        <v>5</v>
      </c>
      <c r="F21" s="15">
        <v>6</v>
      </c>
      <c r="G21" s="15">
        <v>7</v>
      </c>
      <c r="H21" s="16">
        <v>8</v>
      </c>
      <c r="I21" s="245">
        <v>9</v>
      </c>
    </row>
    <row r="22" spans="1:9" ht="63" x14ac:dyDescent="0.25">
      <c r="A22" s="230" t="s">
        <v>493</v>
      </c>
      <c r="B22" s="231"/>
      <c r="C22" s="231"/>
      <c r="D22" s="231"/>
      <c r="E22" s="232"/>
      <c r="F22" s="231">
        <v>100</v>
      </c>
      <c r="G22" s="231"/>
      <c r="H22" s="233"/>
      <c r="I22" s="229">
        <f>I23+I24+I25+I26</f>
        <v>247982975.64160001</v>
      </c>
    </row>
    <row r="23" spans="1:9" ht="15.75" x14ac:dyDescent="0.25">
      <c r="A23" s="225" t="s">
        <v>44</v>
      </c>
      <c r="B23" s="201" t="s">
        <v>45</v>
      </c>
      <c r="C23" s="201" t="s">
        <v>46</v>
      </c>
      <c r="D23" s="201" t="s">
        <v>47</v>
      </c>
      <c r="E23" s="200" t="s">
        <v>23</v>
      </c>
      <c r="F23" s="201">
        <v>111</v>
      </c>
      <c r="G23" s="201">
        <v>211</v>
      </c>
      <c r="H23" s="202"/>
      <c r="I23" s="203">
        <f>152631560*1.2</f>
        <v>183157872</v>
      </c>
    </row>
    <row r="24" spans="1:9" ht="31.5" x14ac:dyDescent="0.25">
      <c r="A24" s="226" t="s">
        <v>48</v>
      </c>
      <c r="B24" s="201" t="s">
        <v>45</v>
      </c>
      <c r="C24" s="201" t="s">
        <v>46</v>
      </c>
      <c r="D24" s="201" t="s">
        <v>47</v>
      </c>
      <c r="E24" s="200" t="s">
        <v>23</v>
      </c>
      <c r="F24" s="201" t="s">
        <v>49</v>
      </c>
      <c r="G24" s="201" t="s">
        <v>50</v>
      </c>
      <c r="H24" s="202"/>
      <c r="I24" s="203">
        <v>1000000</v>
      </c>
    </row>
    <row r="25" spans="1:9" ht="15.75" x14ac:dyDescent="0.25">
      <c r="A25" s="227" t="s">
        <v>51</v>
      </c>
      <c r="B25" s="201" t="s">
        <v>45</v>
      </c>
      <c r="C25" s="201" t="s">
        <v>46</v>
      </c>
      <c r="D25" s="201" t="s">
        <v>47</v>
      </c>
      <c r="E25" s="200" t="s">
        <v>23</v>
      </c>
      <c r="F25" s="201"/>
      <c r="G25" s="201"/>
      <c r="H25" s="202"/>
      <c r="I25" s="203">
        <v>8364900</v>
      </c>
    </row>
    <row r="26" spans="1:9" ht="15.75" x14ac:dyDescent="0.25">
      <c r="A26" s="225" t="s">
        <v>52</v>
      </c>
      <c r="B26" s="201" t="s">
        <v>45</v>
      </c>
      <c r="C26" s="201" t="s">
        <v>46</v>
      </c>
      <c r="D26" s="201" t="s">
        <v>47</v>
      </c>
      <c r="E26" s="200" t="s">
        <v>23</v>
      </c>
      <c r="F26" s="201" t="s">
        <v>53</v>
      </c>
      <c r="G26" s="201" t="s">
        <v>54</v>
      </c>
      <c r="H26" s="202"/>
      <c r="I26" s="203">
        <f>I23*30.28/100</f>
        <v>55460203.641599998</v>
      </c>
    </row>
    <row r="27" spans="1:9" ht="31.5" x14ac:dyDescent="0.25">
      <c r="A27" s="234" t="s">
        <v>494</v>
      </c>
      <c r="B27" s="235"/>
      <c r="C27" s="221"/>
      <c r="D27" s="221"/>
      <c r="E27" s="157"/>
      <c r="F27" s="221">
        <v>200</v>
      </c>
      <c r="G27" s="221"/>
      <c r="H27" s="236"/>
      <c r="I27" s="26">
        <f>I28+I33+I35</f>
        <v>51780487</v>
      </c>
    </row>
    <row r="28" spans="1:9" ht="31.5" x14ac:dyDescent="0.25">
      <c r="A28" s="237" t="s">
        <v>495</v>
      </c>
      <c r="B28" s="235"/>
      <c r="C28" s="221"/>
      <c r="D28" s="221"/>
      <c r="E28" s="157"/>
      <c r="F28" s="221"/>
      <c r="G28" s="221"/>
      <c r="H28" s="236"/>
      <c r="I28" s="26">
        <f>I29+I30+I31+I32</f>
        <v>3559010</v>
      </c>
    </row>
    <row r="29" spans="1:9" ht="15.75" x14ac:dyDescent="0.25">
      <c r="A29" s="208" t="s">
        <v>24</v>
      </c>
      <c r="B29" s="201" t="s">
        <v>45</v>
      </c>
      <c r="C29" s="201" t="s">
        <v>46</v>
      </c>
      <c r="D29" s="201" t="s">
        <v>47</v>
      </c>
      <c r="E29" s="200" t="s">
        <v>23</v>
      </c>
      <c r="F29" s="183" t="s">
        <v>25</v>
      </c>
      <c r="G29" s="35" t="s">
        <v>55</v>
      </c>
      <c r="H29" s="18"/>
      <c r="I29" s="25">
        <f>900000*1.15</f>
        <v>1034999.9999999999</v>
      </c>
    </row>
    <row r="30" spans="1:9" ht="15.75" x14ac:dyDescent="0.25">
      <c r="A30" s="208" t="s">
        <v>26</v>
      </c>
      <c r="B30" s="201" t="s">
        <v>45</v>
      </c>
      <c r="C30" s="201" t="s">
        <v>46</v>
      </c>
      <c r="D30" s="201" t="s">
        <v>47</v>
      </c>
      <c r="E30" s="200" t="s">
        <v>23</v>
      </c>
      <c r="F30" s="19"/>
      <c r="G30" s="19" t="s">
        <v>56</v>
      </c>
      <c r="H30" s="18"/>
      <c r="I30" s="25">
        <v>556000</v>
      </c>
    </row>
    <row r="31" spans="1:9" ht="15.75" x14ac:dyDescent="0.25">
      <c r="A31" s="208" t="s">
        <v>486</v>
      </c>
      <c r="B31" s="201" t="s">
        <v>45</v>
      </c>
      <c r="C31" s="201" t="s">
        <v>46</v>
      </c>
      <c r="D31" s="201" t="s">
        <v>47</v>
      </c>
      <c r="E31" s="200" t="s">
        <v>23</v>
      </c>
      <c r="F31" s="19"/>
      <c r="G31" s="19" t="s">
        <v>57</v>
      </c>
      <c r="H31" s="18"/>
      <c r="I31" s="25">
        <v>1768010</v>
      </c>
    </row>
    <row r="32" spans="1:9" ht="31.5" x14ac:dyDescent="0.25">
      <c r="A32" s="208" t="s">
        <v>30</v>
      </c>
      <c r="B32" s="201" t="s">
        <v>45</v>
      </c>
      <c r="C32" s="201" t="s">
        <v>46</v>
      </c>
      <c r="D32" s="201" t="s">
        <v>47</v>
      </c>
      <c r="E32" s="200" t="s">
        <v>23</v>
      </c>
      <c r="F32" s="19"/>
      <c r="G32" s="19" t="s">
        <v>58</v>
      </c>
      <c r="H32" s="18"/>
      <c r="I32" s="25" t="s">
        <v>59</v>
      </c>
    </row>
    <row r="33" spans="1:9" ht="47.25" x14ac:dyDescent="0.25">
      <c r="A33" s="239" t="s">
        <v>497</v>
      </c>
      <c r="B33" s="201"/>
      <c r="C33" s="201"/>
      <c r="D33" s="201"/>
      <c r="E33" s="200"/>
      <c r="F33" s="19"/>
      <c r="G33" s="19"/>
      <c r="H33" s="18"/>
      <c r="I33" s="26">
        <f>I34</f>
        <v>2800000</v>
      </c>
    </row>
    <row r="34" spans="1:9" ht="15.75" x14ac:dyDescent="0.25">
      <c r="A34" s="208" t="s">
        <v>487</v>
      </c>
      <c r="B34" s="201" t="s">
        <v>45</v>
      </c>
      <c r="C34" s="201" t="s">
        <v>46</v>
      </c>
      <c r="D34" s="201" t="s">
        <v>47</v>
      </c>
      <c r="E34" s="200" t="s">
        <v>23</v>
      </c>
      <c r="F34" s="183" t="s">
        <v>28</v>
      </c>
      <c r="G34" s="19">
        <v>225</v>
      </c>
      <c r="H34" s="18"/>
      <c r="I34" s="25">
        <v>2800000</v>
      </c>
    </row>
    <row r="35" spans="1:9" ht="31.5" x14ac:dyDescent="0.25">
      <c r="A35" s="238" t="s">
        <v>496</v>
      </c>
      <c r="B35" s="201"/>
      <c r="C35" s="201"/>
      <c r="D35" s="201"/>
      <c r="E35" s="200"/>
      <c r="F35" s="183"/>
      <c r="G35" s="19"/>
      <c r="H35" s="18"/>
      <c r="I35" s="26">
        <f>I36+I37+I38+I39+I40+I41</f>
        <v>45421477</v>
      </c>
    </row>
    <row r="36" spans="1:9" ht="15.75" x14ac:dyDescent="0.25">
      <c r="A36" s="209" t="s">
        <v>60</v>
      </c>
      <c r="B36" s="201" t="s">
        <v>45</v>
      </c>
      <c r="C36" s="201" t="s">
        <v>46</v>
      </c>
      <c r="D36" s="201" t="s">
        <v>47</v>
      </c>
      <c r="E36" s="200" t="s">
        <v>23</v>
      </c>
      <c r="F36" s="19" t="s">
        <v>61</v>
      </c>
      <c r="G36" s="19" t="s">
        <v>62</v>
      </c>
      <c r="H36" s="18"/>
      <c r="I36" s="25">
        <v>2100000</v>
      </c>
    </row>
    <row r="37" spans="1:9" ht="31.5" x14ac:dyDescent="0.25">
      <c r="A37" s="208" t="s">
        <v>491</v>
      </c>
      <c r="B37" s="201" t="s">
        <v>45</v>
      </c>
      <c r="C37" s="201" t="s">
        <v>46</v>
      </c>
      <c r="D37" s="201" t="s">
        <v>47</v>
      </c>
      <c r="E37" s="200" t="s">
        <v>23</v>
      </c>
      <c r="F37" s="19"/>
      <c r="G37" s="19" t="s">
        <v>63</v>
      </c>
      <c r="H37" s="18"/>
      <c r="I37" s="25">
        <v>1000000</v>
      </c>
    </row>
    <row r="38" spans="1:9" ht="15.75" x14ac:dyDescent="0.25">
      <c r="A38" s="208" t="s">
        <v>487</v>
      </c>
      <c r="B38" s="201" t="s">
        <v>45</v>
      </c>
      <c r="C38" s="201" t="s">
        <v>46</v>
      </c>
      <c r="D38" s="201" t="s">
        <v>47</v>
      </c>
      <c r="E38" s="200" t="s">
        <v>23</v>
      </c>
      <c r="F38" s="17"/>
      <c r="G38" s="19" t="s">
        <v>64</v>
      </c>
      <c r="H38" s="18"/>
      <c r="I38" s="25">
        <v>630000</v>
      </c>
    </row>
    <row r="39" spans="1:9" ht="15.75" x14ac:dyDescent="0.25">
      <c r="A39" s="209" t="s">
        <v>484</v>
      </c>
      <c r="B39" s="201" t="s">
        <v>45</v>
      </c>
      <c r="C39" s="201" t="s">
        <v>46</v>
      </c>
      <c r="D39" s="201" t="s">
        <v>47</v>
      </c>
      <c r="E39" s="200" t="s">
        <v>23</v>
      </c>
      <c r="F39" s="17"/>
      <c r="G39" s="19" t="s">
        <v>56</v>
      </c>
      <c r="H39" s="18"/>
      <c r="I39" s="25">
        <v>2200000</v>
      </c>
    </row>
    <row r="40" spans="1:9" ht="15.75" x14ac:dyDescent="0.25">
      <c r="A40" s="209" t="s">
        <v>485</v>
      </c>
      <c r="B40" s="201" t="s">
        <v>45</v>
      </c>
      <c r="C40" s="201" t="s">
        <v>46</v>
      </c>
      <c r="D40" s="201" t="s">
        <v>47</v>
      </c>
      <c r="E40" s="200" t="s">
        <v>23</v>
      </c>
      <c r="F40" s="19"/>
      <c r="G40" s="19" t="s">
        <v>57</v>
      </c>
      <c r="H40" s="18"/>
      <c r="I40" s="25">
        <v>31247500</v>
      </c>
    </row>
    <row r="41" spans="1:9" ht="31.5" x14ac:dyDescent="0.25">
      <c r="A41" s="208" t="s">
        <v>30</v>
      </c>
      <c r="B41" s="201" t="s">
        <v>45</v>
      </c>
      <c r="C41" s="201" t="s">
        <v>46</v>
      </c>
      <c r="D41" s="201" t="s">
        <v>47</v>
      </c>
      <c r="E41" s="200" t="s">
        <v>23</v>
      </c>
      <c r="F41" s="19"/>
      <c r="G41" s="19" t="s">
        <v>58</v>
      </c>
      <c r="H41" s="18"/>
      <c r="I41" s="25">
        <v>8243977</v>
      </c>
    </row>
    <row r="42" spans="1:9" ht="47.25" x14ac:dyDescent="0.25">
      <c r="A42" s="224" t="s">
        <v>498</v>
      </c>
      <c r="B42" s="219"/>
      <c r="C42" s="219"/>
      <c r="D42" s="219"/>
      <c r="E42" s="220"/>
      <c r="F42" s="221">
        <v>800</v>
      </c>
      <c r="G42" s="221"/>
      <c r="H42" s="222"/>
      <c r="I42" s="26">
        <f>I43+I44+I45</f>
        <v>4658000</v>
      </c>
    </row>
    <row r="43" spans="1:9" ht="15.75" x14ac:dyDescent="0.25">
      <c r="A43" s="207" t="s">
        <v>68</v>
      </c>
      <c r="B43" s="201" t="s">
        <v>45</v>
      </c>
      <c r="C43" s="201" t="s">
        <v>46</v>
      </c>
      <c r="D43" s="201" t="s">
        <v>47</v>
      </c>
      <c r="E43" s="200" t="s">
        <v>23</v>
      </c>
      <c r="F43" s="19" t="s">
        <v>69</v>
      </c>
      <c r="G43" s="19" t="s">
        <v>70</v>
      </c>
      <c r="H43" s="18"/>
      <c r="I43" s="25">
        <v>4364000</v>
      </c>
    </row>
    <row r="44" spans="1:9" ht="15.75" x14ac:dyDescent="0.25">
      <c r="A44" s="207" t="s">
        <v>71</v>
      </c>
      <c r="B44" s="201" t="s">
        <v>45</v>
      </c>
      <c r="C44" s="201" t="s">
        <v>46</v>
      </c>
      <c r="D44" s="201" t="s">
        <v>47</v>
      </c>
      <c r="E44" s="200" t="s">
        <v>23</v>
      </c>
      <c r="F44" s="19" t="s">
        <v>72</v>
      </c>
      <c r="G44" s="19" t="s">
        <v>70</v>
      </c>
      <c r="H44" s="18"/>
      <c r="I44" s="25">
        <v>84000</v>
      </c>
    </row>
    <row r="45" spans="1:9" ht="15.75" x14ac:dyDescent="0.25">
      <c r="A45" s="207" t="s">
        <v>73</v>
      </c>
      <c r="B45" s="201" t="s">
        <v>45</v>
      </c>
      <c r="C45" s="201" t="s">
        <v>46</v>
      </c>
      <c r="D45" s="201" t="s">
        <v>47</v>
      </c>
      <c r="E45" s="200" t="s">
        <v>23</v>
      </c>
      <c r="F45" s="19" t="s">
        <v>74</v>
      </c>
      <c r="G45" s="19" t="s">
        <v>70</v>
      </c>
      <c r="H45" s="18"/>
      <c r="I45" s="25">
        <v>210000</v>
      </c>
    </row>
    <row r="46" spans="1:9" ht="31.5" x14ac:dyDescent="0.25">
      <c r="A46" s="224" t="s">
        <v>501</v>
      </c>
      <c r="B46" s="19" t="s">
        <v>45</v>
      </c>
      <c r="C46" s="19" t="s">
        <v>46</v>
      </c>
      <c r="D46" s="19" t="s">
        <v>47</v>
      </c>
      <c r="E46" s="183" t="s">
        <v>499</v>
      </c>
      <c r="F46" s="221"/>
      <c r="G46" s="221">
        <v>225</v>
      </c>
      <c r="H46" s="222"/>
      <c r="I46" s="26" t="s">
        <v>76</v>
      </c>
    </row>
    <row r="47" spans="1:9" ht="15.75" x14ac:dyDescent="0.25">
      <c r="A47" s="224" t="s">
        <v>500</v>
      </c>
      <c r="B47" s="19" t="s">
        <v>45</v>
      </c>
      <c r="C47" s="19" t="s">
        <v>46</v>
      </c>
      <c r="D47" s="19" t="s">
        <v>47</v>
      </c>
      <c r="E47" s="35" t="s">
        <v>31</v>
      </c>
      <c r="F47" s="221" t="s">
        <v>492</v>
      </c>
      <c r="G47" s="19"/>
      <c r="H47" s="20"/>
      <c r="I47" s="26">
        <v>4553000</v>
      </c>
    </row>
    <row r="48" spans="1:9" ht="15.75" x14ac:dyDescent="0.25">
      <c r="A48" s="228" t="s">
        <v>79</v>
      </c>
      <c r="B48" s="19"/>
      <c r="C48" s="19"/>
      <c r="D48" s="19"/>
      <c r="E48" s="35"/>
      <c r="F48" s="19"/>
      <c r="G48" s="21"/>
      <c r="H48" s="22"/>
      <c r="I48" s="79">
        <f>I22+I27+I42+I46+I47</f>
        <v>516974462.64160001</v>
      </c>
    </row>
    <row r="49" spans="1:9" x14ac:dyDescent="0.25">
      <c r="A49" s="250"/>
      <c r="B49" s="244"/>
      <c r="C49" s="244"/>
      <c r="D49" s="244"/>
      <c r="E49" s="251"/>
      <c r="F49" s="244"/>
      <c r="G49" s="244"/>
      <c r="H49" s="244"/>
      <c r="I49" s="56"/>
    </row>
    <row r="50" spans="1:9" x14ac:dyDescent="0.25">
      <c r="A50" s="210" t="s">
        <v>32</v>
      </c>
      <c r="B50" s="317" t="s">
        <v>482</v>
      </c>
      <c r="C50" s="317"/>
      <c r="D50" s="317"/>
      <c r="E50" s="10"/>
      <c r="F50" s="38"/>
      <c r="G50" s="314" t="s">
        <v>77</v>
      </c>
      <c r="H50" s="314"/>
      <c r="I50" s="57"/>
    </row>
    <row r="51" spans="1:9" x14ac:dyDescent="0.25">
      <c r="A51" s="210" t="s">
        <v>33</v>
      </c>
      <c r="B51" s="315" t="s">
        <v>34</v>
      </c>
      <c r="C51" s="315"/>
      <c r="D51" s="38"/>
      <c r="E51" s="51" t="s">
        <v>7</v>
      </c>
      <c r="F51" s="38"/>
      <c r="G51" s="316" t="s">
        <v>78</v>
      </c>
      <c r="H51" s="316"/>
      <c r="I51" s="57"/>
    </row>
    <row r="52" spans="1:9" x14ac:dyDescent="0.25">
      <c r="A52" s="211"/>
      <c r="B52" s="247"/>
      <c r="C52" s="247"/>
      <c r="D52" s="247"/>
      <c r="E52" s="51"/>
      <c r="F52" s="247"/>
      <c r="G52" s="247"/>
      <c r="H52" s="8"/>
      <c r="I52" s="78"/>
    </row>
    <row r="53" spans="1:9" x14ac:dyDescent="0.25">
      <c r="A53" s="210" t="s">
        <v>35</v>
      </c>
      <c r="B53" s="248" t="s">
        <v>483</v>
      </c>
      <c r="C53" s="246"/>
      <c r="D53" s="246"/>
      <c r="E53" s="10"/>
      <c r="F53" s="38"/>
      <c r="G53" s="314" t="s">
        <v>36</v>
      </c>
      <c r="H53" s="314"/>
      <c r="I53" s="57"/>
    </row>
    <row r="54" spans="1:9" x14ac:dyDescent="0.25">
      <c r="A54" s="249" t="s">
        <v>41</v>
      </c>
      <c r="B54" s="315" t="s">
        <v>34</v>
      </c>
      <c r="C54" s="315"/>
      <c r="D54" s="247"/>
      <c r="E54" s="51" t="s">
        <v>7</v>
      </c>
      <c r="F54" s="247"/>
      <c r="G54" s="316" t="s">
        <v>78</v>
      </c>
      <c r="H54" s="316"/>
      <c r="I54" s="78"/>
    </row>
  </sheetData>
  <mergeCells count="32">
    <mergeCell ref="B15:I15"/>
    <mergeCell ref="B16:I16"/>
    <mergeCell ref="B17:I17"/>
    <mergeCell ref="B18:I18"/>
    <mergeCell ref="A19:A20"/>
    <mergeCell ref="B19:B20"/>
    <mergeCell ref="C19:H19"/>
    <mergeCell ref="I19:I20"/>
    <mergeCell ref="B14:I14"/>
    <mergeCell ref="A5:B5"/>
    <mergeCell ref="E5:I5"/>
    <mergeCell ref="E6:I6"/>
    <mergeCell ref="A7:B7"/>
    <mergeCell ref="E8:F8"/>
    <mergeCell ref="E9:I9"/>
    <mergeCell ref="B13:I13"/>
    <mergeCell ref="A11:I11"/>
    <mergeCell ref="F12:G12"/>
    <mergeCell ref="H12:I12"/>
    <mergeCell ref="E4:I4"/>
    <mergeCell ref="E1:I1"/>
    <mergeCell ref="A2:B2"/>
    <mergeCell ref="E2:I2"/>
    <mergeCell ref="A3:B3"/>
    <mergeCell ref="E3:I3"/>
    <mergeCell ref="B54:C54"/>
    <mergeCell ref="G54:H54"/>
    <mergeCell ref="B50:D50"/>
    <mergeCell ref="G50:H50"/>
    <mergeCell ref="B51:C51"/>
    <mergeCell ref="G51:H51"/>
    <mergeCell ref="G53:H53"/>
  </mergeCells>
  <printOptions horizontalCentered="1" verticalCentered="1"/>
  <pageMargins left="0.39370078740157483" right="0" top="0" bottom="0" header="0" footer="0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workbookViewId="0">
      <selection activeCell="K6" sqref="K1:X1048576"/>
    </sheetView>
  </sheetViews>
  <sheetFormatPr defaultRowHeight="15" x14ac:dyDescent="0.25"/>
  <cols>
    <col min="1" max="1" width="33.7109375" style="264" customWidth="1"/>
    <col min="2" max="2" width="9.140625" bestFit="1" customWidth="1"/>
    <col min="3" max="3" width="8.85546875" bestFit="1" customWidth="1"/>
    <col min="4" max="4" width="9.140625" bestFit="1" customWidth="1"/>
    <col min="5" max="5" width="8" bestFit="1" customWidth="1"/>
    <col min="6" max="6" width="3.5703125" bestFit="1" customWidth="1"/>
    <col min="7" max="7" width="9.28515625" bestFit="1" customWidth="1"/>
    <col min="8" max="8" width="4.5703125" bestFit="1" customWidth="1"/>
    <col min="9" max="9" width="9.140625" bestFit="1" customWidth="1"/>
    <col min="10" max="10" width="3.5703125" bestFit="1" customWidth="1"/>
    <col min="11" max="11" width="9.28515625" style="109" bestFit="1" customWidth="1"/>
    <col min="12" max="12" width="3.5703125" style="109" bestFit="1" customWidth="1"/>
    <col min="13" max="13" width="9.140625" style="109" bestFit="1" customWidth="1"/>
    <col min="14" max="14" width="3.140625" style="109" bestFit="1" customWidth="1"/>
    <col min="15" max="15" width="8.5703125" style="109" bestFit="1" customWidth="1"/>
    <col min="16" max="16" width="3" style="109" bestFit="1" customWidth="1"/>
    <col min="17" max="17" width="9.28515625" style="109" bestFit="1" customWidth="1"/>
    <col min="18" max="18" width="3" style="109" bestFit="1" customWidth="1"/>
    <col min="19" max="19" width="9" style="109" bestFit="1" customWidth="1"/>
    <col min="20" max="20" width="9.140625" style="109"/>
    <col min="21" max="21" width="8.42578125" style="109" bestFit="1" customWidth="1"/>
    <col min="22" max="22" width="8.140625" style="109" bestFit="1" customWidth="1"/>
    <col min="23" max="23" width="9.28515625" style="109" bestFit="1" customWidth="1"/>
    <col min="24" max="24" width="9.42578125" style="109" bestFit="1" customWidth="1"/>
    <col min="25" max="25" width="8.85546875" bestFit="1" customWidth="1"/>
    <col min="26" max="26" width="11.28515625" bestFit="1" customWidth="1"/>
    <col min="27" max="27" width="12.28515625" bestFit="1" customWidth="1"/>
    <col min="28" max="28" width="13.42578125" bestFit="1" customWidth="1"/>
  </cols>
  <sheetData>
    <row r="1" spans="1:28" ht="25.5" customHeight="1" x14ac:dyDescent="0.25">
      <c r="A1" s="319" t="s">
        <v>504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</row>
    <row r="2" spans="1:28" ht="67.5" x14ac:dyDescent="0.25">
      <c r="A2" s="260" t="s">
        <v>97</v>
      </c>
      <c r="B2" s="252" t="s">
        <v>98</v>
      </c>
      <c r="C2" s="253" t="s">
        <v>80</v>
      </c>
      <c r="D2" s="254" t="s">
        <v>81</v>
      </c>
      <c r="E2" s="255" t="s">
        <v>82</v>
      </c>
      <c r="F2" s="256" t="s">
        <v>83</v>
      </c>
      <c r="G2" s="257" t="s">
        <v>84</v>
      </c>
      <c r="H2" s="256" t="s">
        <v>83</v>
      </c>
      <c r="I2" s="257" t="s">
        <v>85</v>
      </c>
      <c r="J2" s="256" t="s">
        <v>83</v>
      </c>
      <c r="K2" s="257" t="s">
        <v>86</v>
      </c>
      <c r="L2" s="258" t="s">
        <v>83</v>
      </c>
      <c r="M2" s="257" t="s">
        <v>87</v>
      </c>
      <c r="N2" s="258" t="s">
        <v>83</v>
      </c>
      <c r="O2" s="257" t="s">
        <v>88</v>
      </c>
      <c r="P2" s="258" t="s">
        <v>83</v>
      </c>
      <c r="Q2" s="257" t="s">
        <v>89</v>
      </c>
      <c r="R2" s="258" t="s">
        <v>83</v>
      </c>
      <c r="S2" s="257" t="s">
        <v>90</v>
      </c>
      <c r="T2" s="257" t="s">
        <v>91</v>
      </c>
      <c r="U2" s="257" t="s">
        <v>92</v>
      </c>
      <c r="V2" s="257" t="s">
        <v>93</v>
      </c>
      <c r="W2" s="257" t="s">
        <v>94</v>
      </c>
      <c r="X2" s="289" t="s">
        <v>503</v>
      </c>
      <c r="Y2" s="257" t="s">
        <v>95</v>
      </c>
      <c r="Z2" s="259" t="s">
        <v>96</v>
      </c>
      <c r="AA2" s="265" t="s">
        <v>505</v>
      </c>
      <c r="AB2" s="259" t="s">
        <v>506</v>
      </c>
    </row>
    <row r="3" spans="1:28" x14ac:dyDescent="0.25">
      <c r="A3" s="260" t="s">
        <v>99</v>
      </c>
      <c r="B3" s="266">
        <v>3</v>
      </c>
      <c r="C3" s="267">
        <v>5120</v>
      </c>
      <c r="D3" s="268">
        <v>0.6</v>
      </c>
      <c r="E3" s="269">
        <f t="shared" ref="E3:E16" si="0">C3+C3*D3</f>
        <v>8192</v>
      </c>
      <c r="F3" s="268">
        <v>40</v>
      </c>
      <c r="G3" s="270">
        <f t="shared" ref="G3:G16" si="1">E3*F3/100</f>
        <v>3276.8</v>
      </c>
      <c r="H3" s="271">
        <v>180</v>
      </c>
      <c r="I3" s="270">
        <f t="shared" ref="I3:I16" si="2">E3*H3/100</f>
        <v>14745.6</v>
      </c>
      <c r="J3" s="271"/>
      <c r="K3" s="279"/>
      <c r="L3" s="282"/>
      <c r="M3" s="279"/>
      <c r="N3" s="283"/>
      <c r="O3" s="279"/>
      <c r="P3" s="282"/>
      <c r="Q3" s="279"/>
      <c r="R3" s="282"/>
      <c r="S3" s="279"/>
      <c r="T3" s="279"/>
      <c r="U3" s="279"/>
      <c r="V3" s="279">
        <f>2*480</f>
        <v>960</v>
      </c>
      <c r="W3" s="279">
        <f>E3/12</f>
        <v>682.66666666666663</v>
      </c>
      <c r="X3" s="279">
        <f>5000/6</f>
        <v>833.33333333333337</v>
      </c>
      <c r="Y3" s="270">
        <f>E3*0.6/3</f>
        <v>1638.3999999999999</v>
      </c>
      <c r="Z3" s="273">
        <f>SUM(E3+G3+I3+K3+M3+T3+O3+Q3+S3+U3+V3+W3+X3+Y3)</f>
        <v>30328.800000000003</v>
      </c>
      <c r="AA3" s="274">
        <f>B3*Z3</f>
        <v>90986.400000000009</v>
      </c>
      <c r="AB3" s="274">
        <f>AA3*12</f>
        <v>1091836.8</v>
      </c>
    </row>
    <row r="4" spans="1:28" x14ac:dyDescent="0.25">
      <c r="A4" s="260" t="s">
        <v>100</v>
      </c>
      <c r="B4" s="266">
        <v>24</v>
      </c>
      <c r="C4" s="267">
        <v>5120</v>
      </c>
      <c r="D4" s="268">
        <v>0.6</v>
      </c>
      <c r="E4" s="269">
        <f t="shared" si="0"/>
        <v>8192</v>
      </c>
      <c r="F4" s="268">
        <v>30</v>
      </c>
      <c r="G4" s="270">
        <f t="shared" si="1"/>
        <v>2457.6</v>
      </c>
      <c r="H4" s="271">
        <v>180</v>
      </c>
      <c r="I4" s="270">
        <f t="shared" si="2"/>
        <v>14745.6</v>
      </c>
      <c r="J4" s="271"/>
      <c r="K4" s="279"/>
      <c r="L4" s="282"/>
      <c r="M4" s="279"/>
      <c r="N4" s="283"/>
      <c r="O4" s="279"/>
      <c r="P4" s="282"/>
      <c r="Q4" s="279"/>
      <c r="R4" s="282"/>
      <c r="S4" s="279"/>
      <c r="T4" s="279"/>
      <c r="U4" s="279"/>
      <c r="V4" s="279">
        <v>480</v>
      </c>
      <c r="W4" s="279">
        <f t="shared" ref="W4:W36" si="3">E4/12</f>
        <v>682.66666666666663</v>
      </c>
      <c r="X4" s="279">
        <f t="shared" ref="X4:X36" si="4">5000/6</f>
        <v>833.33333333333337</v>
      </c>
      <c r="Y4" s="270">
        <f>E4*0.6/3</f>
        <v>1638.3999999999999</v>
      </c>
      <c r="Z4" s="273">
        <f t="shared" ref="Z4:Z36" si="5">SUM(E4+G4+I4+K4+M4+T4+O4+Q4+S4+U4+V4+W4+X4+Y4)</f>
        <v>29029.600000000002</v>
      </c>
      <c r="AA4" s="274">
        <f t="shared" ref="AA4:AA36" si="6">B4*Z4</f>
        <v>696710.4</v>
      </c>
      <c r="AB4" s="274">
        <f t="shared" ref="AB4:AB36" si="7">AA4*12</f>
        <v>8360524.8000000007</v>
      </c>
    </row>
    <row r="5" spans="1:28" ht="33.75" x14ac:dyDescent="0.25">
      <c r="A5" s="260" t="s">
        <v>101</v>
      </c>
      <c r="B5" s="266">
        <v>1</v>
      </c>
      <c r="C5" s="267">
        <v>5120</v>
      </c>
      <c r="D5" s="268">
        <v>0.6</v>
      </c>
      <c r="E5" s="269">
        <f t="shared" si="0"/>
        <v>8192</v>
      </c>
      <c r="F5" s="268">
        <v>40</v>
      </c>
      <c r="G5" s="270">
        <f t="shared" si="1"/>
        <v>3276.8</v>
      </c>
      <c r="H5" s="271">
        <v>180</v>
      </c>
      <c r="I5" s="270">
        <f t="shared" si="2"/>
        <v>14745.6</v>
      </c>
      <c r="J5" s="271">
        <v>30</v>
      </c>
      <c r="K5" s="279">
        <f>E5*J5/100</f>
        <v>2457.6</v>
      </c>
      <c r="L5" s="282"/>
      <c r="M5" s="279"/>
      <c r="N5" s="283"/>
      <c r="O5" s="279"/>
      <c r="P5" s="282"/>
      <c r="Q5" s="279"/>
      <c r="R5" s="282"/>
      <c r="S5" s="279"/>
      <c r="T5" s="279"/>
      <c r="U5" s="279"/>
      <c r="V5" s="279">
        <v>480</v>
      </c>
      <c r="W5" s="279">
        <f t="shared" si="3"/>
        <v>682.66666666666663</v>
      </c>
      <c r="X5" s="279">
        <f t="shared" si="4"/>
        <v>833.33333333333337</v>
      </c>
      <c r="Y5" s="270">
        <f>E5*0.6*4/12</f>
        <v>1638.3999999999999</v>
      </c>
      <c r="Z5" s="273">
        <f t="shared" si="5"/>
        <v>32306.400000000001</v>
      </c>
      <c r="AA5" s="274">
        <f t="shared" si="6"/>
        <v>32306.400000000001</v>
      </c>
      <c r="AB5" s="274">
        <f t="shared" si="7"/>
        <v>387676.80000000005</v>
      </c>
    </row>
    <row r="6" spans="1:28" ht="22.5" x14ac:dyDescent="0.25">
      <c r="A6" s="260" t="s">
        <v>102</v>
      </c>
      <c r="B6" s="266">
        <v>1</v>
      </c>
      <c r="C6" s="267">
        <v>5940</v>
      </c>
      <c r="D6" s="275">
        <v>0.6</v>
      </c>
      <c r="E6" s="269">
        <f t="shared" si="0"/>
        <v>9504</v>
      </c>
      <c r="F6" s="268">
        <v>30</v>
      </c>
      <c r="G6" s="270">
        <f t="shared" si="1"/>
        <v>2851.2</v>
      </c>
      <c r="H6" s="271">
        <v>180</v>
      </c>
      <c r="I6" s="270">
        <f t="shared" si="2"/>
        <v>17107.2</v>
      </c>
      <c r="J6" s="271">
        <v>60</v>
      </c>
      <c r="K6" s="279">
        <f>E6*J6/100</f>
        <v>5702.4</v>
      </c>
      <c r="L6" s="282"/>
      <c r="M6" s="279"/>
      <c r="N6" s="283"/>
      <c r="O6" s="279"/>
      <c r="P6" s="282"/>
      <c r="Q6" s="279"/>
      <c r="R6" s="282"/>
      <c r="S6" s="279"/>
      <c r="T6" s="279"/>
      <c r="U6" s="279"/>
      <c r="V6" s="279">
        <f>2*480</f>
        <v>960</v>
      </c>
      <c r="W6" s="279">
        <f t="shared" si="3"/>
        <v>792</v>
      </c>
      <c r="X6" s="279">
        <f t="shared" si="4"/>
        <v>833.33333333333337</v>
      </c>
      <c r="Y6" s="270">
        <f>E6*0.6/12</f>
        <v>475.2</v>
      </c>
      <c r="Z6" s="273">
        <f t="shared" si="5"/>
        <v>38225.333333333336</v>
      </c>
      <c r="AA6" s="274">
        <f t="shared" si="6"/>
        <v>38225.333333333336</v>
      </c>
      <c r="AB6" s="274">
        <f t="shared" si="7"/>
        <v>458704</v>
      </c>
    </row>
    <row r="7" spans="1:28" ht="22.5" x14ac:dyDescent="0.25">
      <c r="A7" s="260" t="s">
        <v>103</v>
      </c>
      <c r="B7" s="266">
        <v>1</v>
      </c>
      <c r="C7" s="267">
        <v>5120</v>
      </c>
      <c r="D7" s="268">
        <v>0.6</v>
      </c>
      <c r="E7" s="269">
        <f t="shared" si="0"/>
        <v>8192</v>
      </c>
      <c r="F7" s="268">
        <v>30</v>
      </c>
      <c r="G7" s="270">
        <f t="shared" si="1"/>
        <v>2457.6</v>
      </c>
      <c r="H7" s="271">
        <v>180</v>
      </c>
      <c r="I7" s="270">
        <f t="shared" si="2"/>
        <v>14745.6</v>
      </c>
      <c r="J7" s="271">
        <v>30</v>
      </c>
      <c r="K7" s="279">
        <f>E7*J7/100</f>
        <v>2457.6</v>
      </c>
      <c r="L7" s="282"/>
      <c r="M7" s="279"/>
      <c r="N7" s="283"/>
      <c r="O7" s="279"/>
      <c r="P7" s="282"/>
      <c r="Q7" s="279"/>
      <c r="R7" s="282"/>
      <c r="S7" s="279"/>
      <c r="T7" s="279"/>
      <c r="U7" s="279"/>
      <c r="V7" s="279">
        <v>480</v>
      </c>
      <c r="W7" s="279">
        <f t="shared" si="3"/>
        <v>682.66666666666663</v>
      </c>
      <c r="X7" s="279">
        <f t="shared" si="4"/>
        <v>833.33333333333337</v>
      </c>
      <c r="Y7" s="270">
        <f>E7/3</f>
        <v>2730.6666666666665</v>
      </c>
      <c r="Z7" s="273">
        <f t="shared" si="5"/>
        <v>32579.466666666667</v>
      </c>
      <c r="AA7" s="274">
        <f t="shared" si="6"/>
        <v>32579.466666666667</v>
      </c>
      <c r="AB7" s="274">
        <f t="shared" si="7"/>
        <v>390953.6</v>
      </c>
    </row>
    <row r="8" spans="1:28" x14ac:dyDescent="0.25">
      <c r="A8" s="260" t="s">
        <v>104</v>
      </c>
      <c r="B8" s="266">
        <v>1</v>
      </c>
      <c r="C8" s="267">
        <v>5529</v>
      </c>
      <c r="D8" s="276"/>
      <c r="E8" s="269">
        <f t="shared" si="0"/>
        <v>5529</v>
      </c>
      <c r="F8" s="268">
        <v>30</v>
      </c>
      <c r="G8" s="270">
        <f t="shared" si="1"/>
        <v>1658.7</v>
      </c>
      <c r="H8" s="271">
        <v>180</v>
      </c>
      <c r="I8" s="270">
        <f t="shared" si="2"/>
        <v>9952.2000000000007</v>
      </c>
      <c r="J8" s="271">
        <v>30</v>
      </c>
      <c r="K8" s="279">
        <f>E8*J8/100</f>
        <v>1658.7</v>
      </c>
      <c r="L8" s="282"/>
      <c r="M8" s="279"/>
      <c r="N8" s="283"/>
      <c r="O8" s="279">
        <v>8000</v>
      </c>
      <c r="P8" s="282"/>
      <c r="Q8" s="279"/>
      <c r="R8" s="282"/>
      <c r="S8" s="279"/>
      <c r="T8" s="279"/>
      <c r="U8" s="279"/>
      <c r="V8" s="279">
        <v>480</v>
      </c>
      <c r="W8" s="279">
        <f t="shared" si="3"/>
        <v>460.75</v>
      </c>
      <c r="X8" s="279">
        <f t="shared" si="4"/>
        <v>833.33333333333337</v>
      </c>
      <c r="Y8" s="270"/>
      <c r="Z8" s="273">
        <f>SUM(E8+G8+I8+K8+M8+T8+O8+Q8+S8+U8+V8+W8+X8+Y8)</f>
        <v>28572.683333333334</v>
      </c>
      <c r="AA8" s="274">
        <f t="shared" si="6"/>
        <v>28572.683333333334</v>
      </c>
      <c r="AB8" s="274">
        <f t="shared" si="7"/>
        <v>342872.2</v>
      </c>
    </row>
    <row r="9" spans="1:28" x14ac:dyDescent="0.25">
      <c r="A9" s="260" t="s">
        <v>105</v>
      </c>
      <c r="B9" s="266">
        <v>3</v>
      </c>
      <c r="C9" s="277">
        <v>6329</v>
      </c>
      <c r="D9" s="268">
        <v>0.5</v>
      </c>
      <c r="E9" s="269">
        <f t="shared" si="0"/>
        <v>9493.5</v>
      </c>
      <c r="F9" s="278">
        <v>40</v>
      </c>
      <c r="G9" s="270">
        <f t="shared" si="1"/>
        <v>3797.4</v>
      </c>
      <c r="H9" s="271">
        <v>180</v>
      </c>
      <c r="I9" s="270">
        <f t="shared" si="2"/>
        <v>17088.3</v>
      </c>
      <c r="J9" s="271"/>
      <c r="K9" s="279"/>
      <c r="L9" s="282"/>
      <c r="M9" s="279"/>
      <c r="N9" s="283"/>
      <c r="O9" s="279"/>
      <c r="P9" s="282"/>
      <c r="Q9" s="279"/>
      <c r="R9" s="282"/>
      <c r="S9" s="279"/>
      <c r="T9" s="279"/>
      <c r="U9" s="279"/>
      <c r="V9" s="279">
        <f>2*480</f>
        <v>960</v>
      </c>
      <c r="W9" s="279">
        <f t="shared" si="3"/>
        <v>791.125</v>
      </c>
      <c r="X9" s="279">
        <f t="shared" si="4"/>
        <v>833.33333333333337</v>
      </c>
      <c r="Y9" s="270">
        <f>E9*0.6/3</f>
        <v>1898.6999999999998</v>
      </c>
      <c r="Z9" s="273">
        <f t="shared" si="5"/>
        <v>34862.35833333333</v>
      </c>
      <c r="AA9" s="274">
        <f t="shared" si="6"/>
        <v>104587.07499999998</v>
      </c>
      <c r="AB9" s="274">
        <f t="shared" si="7"/>
        <v>1255044.8999999999</v>
      </c>
    </row>
    <row r="10" spans="1:28" x14ac:dyDescent="0.25">
      <c r="A10" s="260" t="s">
        <v>106</v>
      </c>
      <c r="B10" s="266">
        <v>1</v>
      </c>
      <c r="C10" s="277">
        <v>28000</v>
      </c>
      <c r="D10" s="276"/>
      <c r="E10" s="269">
        <f t="shared" si="0"/>
        <v>28000</v>
      </c>
      <c r="F10" s="268">
        <v>30</v>
      </c>
      <c r="G10" s="270">
        <f t="shared" si="1"/>
        <v>8400</v>
      </c>
      <c r="H10" s="271">
        <v>180</v>
      </c>
      <c r="I10" s="270">
        <f t="shared" si="2"/>
        <v>50400</v>
      </c>
      <c r="J10" s="271">
        <v>30</v>
      </c>
      <c r="K10" s="279">
        <f>E10*J10/100</f>
        <v>8400</v>
      </c>
      <c r="L10" s="282"/>
      <c r="M10" s="279"/>
      <c r="N10" s="283"/>
      <c r="O10" s="279"/>
      <c r="P10" s="282"/>
      <c r="Q10" s="279"/>
      <c r="R10" s="282"/>
      <c r="S10" s="279"/>
      <c r="T10" s="279"/>
      <c r="U10" s="279"/>
      <c r="V10" s="279">
        <f>2*480</f>
        <v>960</v>
      </c>
      <c r="W10" s="279">
        <f t="shared" si="3"/>
        <v>2333.3333333333335</v>
      </c>
      <c r="X10" s="279">
        <f t="shared" si="4"/>
        <v>833.33333333333337</v>
      </c>
      <c r="Y10" s="270">
        <f>E10/3</f>
        <v>9333.3333333333339</v>
      </c>
      <c r="Z10" s="273">
        <f t="shared" si="5"/>
        <v>108659.99999999999</v>
      </c>
      <c r="AA10" s="274">
        <f t="shared" si="6"/>
        <v>108659.99999999999</v>
      </c>
      <c r="AB10" s="274">
        <f t="shared" si="7"/>
        <v>1303919.9999999998</v>
      </c>
    </row>
    <row r="11" spans="1:28" x14ac:dyDescent="0.25">
      <c r="A11" s="260" t="s">
        <v>107</v>
      </c>
      <c r="B11" s="266">
        <v>3</v>
      </c>
      <c r="C11" s="267">
        <v>5940</v>
      </c>
      <c r="D11" s="276"/>
      <c r="E11" s="269">
        <f t="shared" si="0"/>
        <v>5940</v>
      </c>
      <c r="F11" s="268">
        <v>40</v>
      </c>
      <c r="G11" s="270">
        <f t="shared" si="1"/>
        <v>2376</v>
      </c>
      <c r="H11" s="271">
        <v>180</v>
      </c>
      <c r="I11" s="270">
        <f t="shared" si="2"/>
        <v>10692</v>
      </c>
      <c r="J11" s="271"/>
      <c r="K11" s="279">
        <f>E11*J11/100</f>
        <v>0</v>
      </c>
      <c r="L11" s="282"/>
      <c r="M11" s="279"/>
      <c r="N11" s="283"/>
      <c r="O11" s="279">
        <v>5000</v>
      </c>
      <c r="P11" s="282"/>
      <c r="Q11" s="279"/>
      <c r="R11" s="282"/>
      <c r="S11" s="279"/>
      <c r="T11" s="279"/>
      <c r="U11" s="279"/>
      <c r="V11" s="279">
        <f>2*480</f>
        <v>960</v>
      </c>
      <c r="W11" s="279">
        <f t="shared" si="3"/>
        <v>495</v>
      </c>
      <c r="X11" s="279">
        <f t="shared" si="4"/>
        <v>833.33333333333337</v>
      </c>
      <c r="Y11" s="270">
        <v>0</v>
      </c>
      <c r="Z11" s="273">
        <f t="shared" si="5"/>
        <v>26296.333333333332</v>
      </c>
      <c r="AA11" s="274">
        <f t="shared" si="6"/>
        <v>78889</v>
      </c>
      <c r="AB11" s="274">
        <f t="shared" si="7"/>
        <v>946668</v>
      </c>
    </row>
    <row r="12" spans="1:28" x14ac:dyDescent="0.25">
      <c r="A12" s="260" t="s">
        <v>108</v>
      </c>
      <c r="B12" s="266">
        <v>8</v>
      </c>
      <c r="C12" s="267">
        <v>5940</v>
      </c>
      <c r="D12" s="275">
        <v>0.6</v>
      </c>
      <c r="E12" s="269">
        <f t="shared" si="0"/>
        <v>9504</v>
      </c>
      <c r="F12" s="268">
        <v>30</v>
      </c>
      <c r="G12" s="270">
        <f t="shared" si="1"/>
        <v>2851.2</v>
      </c>
      <c r="H12" s="271">
        <v>180</v>
      </c>
      <c r="I12" s="270">
        <f t="shared" si="2"/>
        <v>17107.2</v>
      </c>
      <c r="J12" s="271"/>
      <c r="K12" s="279"/>
      <c r="L12" s="282"/>
      <c r="M12" s="279"/>
      <c r="N12" s="283"/>
      <c r="O12" s="279"/>
      <c r="P12" s="282"/>
      <c r="Q12" s="279"/>
      <c r="R12" s="282"/>
      <c r="S12" s="279"/>
      <c r="T12" s="279"/>
      <c r="U12" s="279"/>
      <c r="V12" s="279">
        <v>480</v>
      </c>
      <c r="W12" s="279">
        <f t="shared" si="3"/>
        <v>792</v>
      </c>
      <c r="X12" s="279">
        <f t="shared" si="4"/>
        <v>833.33333333333337</v>
      </c>
      <c r="Y12" s="270">
        <f>E12*0.6/3</f>
        <v>1900.8</v>
      </c>
      <c r="Z12" s="273">
        <f t="shared" si="5"/>
        <v>33468.533333333333</v>
      </c>
      <c r="AA12" s="274">
        <f t="shared" si="6"/>
        <v>267748.26666666666</v>
      </c>
      <c r="AB12" s="274">
        <f t="shared" si="7"/>
        <v>3212979.2</v>
      </c>
    </row>
    <row r="13" spans="1:28" x14ac:dyDescent="0.25">
      <c r="A13" s="260" t="s">
        <v>109</v>
      </c>
      <c r="B13" s="266">
        <v>1</v>
      </c>
      <c r="C13" s="277">
        <v>6199</v>
      </c>
      <c r="D13" s="275">
        <v>0.7</v>
      </c>
      <c r="E13" s="269">
        <f t="shared" si="0"/>
        <v>10538.3</v>
      </c>
      <c r="F13" s="278">
        <v>30</v>
      </c>
      <c r="G13" s="270">
        <f t="shared" si="1"/>
        <v>3161.49</v>
      </c>
      <c r="H13" s="271">
        <v>180</v>
      </c>
      <c r="I13" s="270">
        <f t="shared" si="2"/>
        <v>18968.939999999999</v>
      </c>
      <c r="J13" s="271"/>
      <c r="K13" s="279"/>
      <c r="L13" s="282"/>
      <c r="M13" s="279"/>
      <c r="N13" s="283"/>
      <c r="O13" s="279"/>
      <c r="P13" s="282"/>
      <c r="Q13" s="279"/>
      <c r="R13" s="282"/>
      <c r="S13" s="279"/>
      <c r="T13" s="279"/>
      <c r="U13" s="279"/>
      <c r="V13" s="279">
        <v>480</v>
      </c>
      <c r="W13" s="279">
        <f t="shared" si="3"/>
        <v>878.19166666666661</v>
      </c>
      <c r="X13" s="279">
        <f t="shared" si="4"/>
        <v>833.33333333333337</v>
      </c>
      <c r="Y13" s="270">
        <f>E13/3</f>
        <v>3512.7666666666664</v>
      </c>
      <c r="Z13" s="273">
        <f t="shared" si="5"/>
        <v>38373.021666666667</v>
      </c>
      <c r="AA13" s="274">
        <f t="shared" si="6"/>
        <v>38373.021666666667</v>
      </c>
      <c r="AB13" s="274">
        <f t="shared" si="7"/>
        <v>460476.26</v>
      </c>
    </row>
    <row r="14" spans="1:28" x14ac:dyDescent="0.25">
      <c r="A14" s="260" t="s">
        <v>110</v>
      </c>
      <c r="B14" s="266">
        <v>2</v>
      </c>
      <c r="C14" s="277">
        <v>6199</v>
      </c>
      <c r="D14" s="275">
        <v>0.7</v>
      </c>
      <c r="E14" s="280">
        <f t="shared" si="0"/>
        <v>10538.3</v>
      </c>
      <c r="F14" s="278">
        <v>40</v>
      </c>
      <c r="G14" s="279">
        <f t="shared" si="1"/>
        <v>4215.32</v>
      </c>
      <c r="H14" s="271">
        <v>180</v>
      </c>
      <c r="I14" s="279">
        <f t="shared" si="2"/>
        <v>18968.939999999999</v>
      </c>
      <c r="J14" s="281"/>
      <c r="K14" s="279"/>
      <c r="L14" s="282"/>
      <c r="M14" s="279"/>
      <c r="N14" s="283">
        <v>15</v>
      </c>
      <c r="O14" s="279">
        <f>E14*N14/100+10.3518</f>
        <v>1591.0967999999998</v>
      </c>
      <c r="P14" s="282"/>
      <c r="Q14" s="279"/>
      <c r="R14" s="282"/>
      <c r="S14" s="279"/>
      <c r="T14" s="279"/>
      <c r="U14" s="279"/>
      <c r="V14" s="279">
        <v>480</v>
      </c>
      <c r="W14" s="279">
        <f t="shared" si="3"/>
        <v>878.19166666666661</v>
      </c>
      <c r="X14" s="279">
        <f t="shared" si="4"/>
        <v>833.33333333333337</v>
      </c>
      <c r="Y14" s="270">
        <f>E14/3</f>
        <v>3512.7666666666664</v>
      </c>
      <c r="Z14" s="273">
        <f t="shared" si="5"/>
        <v>41017.948466666669</v>
      </c>
      <c r="AA14" s="274">
        <f t="shared" si="6"/>
        <v>82035.896933333337</v>
      </c>
      <c r="AB14" s="274">
        <f t="shared" si="7"/>
        <v>984430.76320000004</v>
      </c>
    </row>
    <row r="15" spans="1:28" ht="22.5" x14ac:dyDescent="0.25">
      <c r="A15" s="260" t="s">
        <v>111</v>
      </c>
      <c r="B15" s="266">
        <v>1</v>
      </c>
      <c r="C15" s="267">
        <v>5940</v>
      </c>
      <c r="D15" s="275">
        <v>0.7</v>
      </c>
      <c r="E15" s="269">
        <f t="shared" si="0"/>
        <v>10098</v>
      </c>
      <c r="F15" s="268">
        <v>30</v>
      </c>
      <c r="G15" s="270">
        <f t="shared" si="1"/>
        <v>3029.4</v>
      </c>
      <c r="H15" s="271">
        <v>180</v>
      </c>
      <c r="I15" s="270">
        <f t="shared" si="2"/>
        <v>18176.400000000001</v>
      </c>
      <c r="J15" s="271"/>
      <c r="K15" s="279"/>
      <c r="L15" s="282"/>
      <c r="M15" s="279"/>
      <c r="N15" s="283"/>
      <c r="O15" s="279">
        <v>12000</v>
      </c>
      <c r="P15" s="282"/>
      <c r="Q15" s="279"/>
      <c r="R15" s="282"/>
      <c r="S15" s="279"/>
      <c r="T15" s="279"/>
      <c r="U15" s="279"/>
      <c r="V15" s="279">
        <v>480</v>
      </c>
      <c r="W15" s="279">
        <f t="shared" si="3"/>
        <v>841.5</v>
      </c>
      <c r="X15" s="279">
        <f t="shared" si="4"/>
        <v>833.33333333333337</v>
      </c>
      <c r="Y15" s="270"/>
      <c r="Z15" s="273">
        <f t="shared" si="5"/>
        <v>45458.633333333339</v>
      </c>
      <c r="AA15" s="274">
        <f t="shared" si="6"/>
        <v>45458.633333333339</v>
      </c>
      <c r="AB15" s="274">
        <f t="shared" si="7"/>
        <v>545503.60000000009</v>
      </c>
    </row>
    <row r="16" spans="1:28" ht="22.5" x14ac:dyDescent="0.25">
      <c r="A16" s="260" t="s">
        <v>112</v>
      </c>
      <c r="B16" s="266">
        <v>1</v>
      </c>
      <c r="C16" s="267">
        <v>5940</v>
      </c>
      <c r="D16" s="275">
        <v>0.7</v>
      </c>
      <c r="E16" s="269">
        <f t="shared" si="0"/>
        <v>10098</v>
      </c>
      <c r="F16" s="268">
        <v>40</v>
      </c>
      <c r="G16" s="270">
        <f t="shared" si="1"/>
        <v>4039.2</v>
      </c>
      <c r="H16" s="271">
        <v>180</v>
      </c>
      <c r="I16" s="270">
        <f t="shared" si="2"/>
        <v>18176.400000000001</v>
      </c>
      <c r="J16" s="271">
        <v>30</v>
      </c>
      <c r="K16" s="279">
        <f>E16*J16/100</f>
        <v>3029.4</v>
      </c>
      <c r="L16" s="282"/>
      <c r="M16" s="279"/>
      <c r="N16" s="283"/>
      <c r="O16" s="279"/>
      <c r="P16" s="282"/>
      <c r="Q16" s="279"/>
      <c r="R16" s="282"/>
      <c r="S16" s="279"/>
      <c r="T16" s="279"/>
      <c r="U16" s="279"/>
      <c r="V16" s="279">
        <v>480</v>
      </c>
      <c r="W16" s="279">
        <f t="shared" si="3"/>
        <v>841.5</v>
      </c>
      <c r="X16" s="279">
        <f t="shared" si="4"/>
        <v>833.33333333333337</v>
      </c>
      <c r="Y16" s="270">
        <f>E16*0.6/3</f>
        <v>2019.6000000000001</v>
      </c>
      <c r="Z16" s="273">
        <f t="shared" si="5"/>
        <v>39517.433333333334</v>
      </c>
      <c r="AA16" s="274">
        <f t="shared" si="6"/>
        <v>39517.433333333334</v>
      </c>
      <c r="AB16" s="274">
        <f t="shared" si="7"/>
        <v>474209.2</v>
      </c>
    </row>
    <row r="17" spans="1:28" x14ac:dyDescent="0.25">
      <c r="A17" s="260" t="s">
        <v>113</v>
      </c>
      <c r="B17" s="266">
        <v>2</v>
      </c>
      <c r="C17" s="277">
        <v>36000</v>
      </c>
      <c r="D17" s="276"/>
      <c r="E17" s="284">
        <v>36000</v>
      </c>
      <c r="F17" s="276">
        <v>30</v>
      </c>
      <c r="G17" s="270">
        <f>C17*F17/100</f>
        <v>10800</v>
      </c>
      <c r="H17" s="271">
        <v>180</v>
      </c>
      <c r="I17" s="270">
        <f>C17*H17/100</f>
        <v>64800</v>
      </c>
      <c r="J17" s="271">
        <v>50</v>
      </c>
      <c r="K17" s="279">
        <f>C17*J17/100</f>
        <v>18000</v>
      </c>
      <c r="L17" s="282"/>
      <c r="M17" s="279"/>
      <c r="N17" s="283"/>
      <c r="O17" s="279"/>
      <c r="P17" s="282"/>
      <c r="Q17" s="279"/>
      <c r="R17" s="282"/>
      <c r="S17" s="279"/>
      <c r="T17" s="279"/>
      <c r="U17" s="279"/>
      <c r="V17" s="279">
        <v>480</v>
      </c>
      <c r="W17" s="279">
        <f t="shared" si="3"/>
        <v>3000</v>
      </c>
      <c r="X17" s="279">
        <f t="shared" si="4"/>
        <v>833.33333333333337</v>
      </c>
      <c r="Y17" s="270">
        <f>E17/3</f>
        <v>12000</v>
      </c>
      <c r="Z17" s="273">
        <f t="shared" si="5"/>
        <v>145913.33333333334</v>
      </c>
      <c r="AA17" s="274">
        <f t="shared" si="6"/>
        <v>291826.66666666669</v>
      </c>
      <c r="AB17" s="274">
        <f t="shared" si="7"/>
        <v>3501920</v>
      </c>
    </row>
    <row r="18" spans="1:28" ht="45" x14ac:dyDescent="0.25">
      <c r="A18" s="260" t="s">
        <v>114</v>
      </c>
      <c r="B18" s="266">
        <v>1</v>
      </c>
      <c r="C18" s="277">
        <v>28000</v>
      </c>
      <c r="D18" s="276"/>
      <c r="E18" s="284">
        <v>28000</v>
      </c>
      <c r="F18" s="276">
        <v>40</v>
      </c>
      <c r="G18" s="270">
        <f t="shared" ref="G18:G36" si="8">E18*F18/100</f>
        <v>11200</v>
      </c>
      <c r="H18" s="271">
        <v>180</v>
      </c>
      <c r="I18" s="270">
        <f t="shared" ref="I18:I36" si="9">E18*H18/100</f>
        <v>50400</v>
      </c>
      <c r="J18" s="271">
        <v>30</v>
      </c>
      <c r="K18" s="279">
        <f>E18*J18/100</f>
        <v>8400</v>
      </c>
      <c r="L18" s="282"/>
      <c r="M18" s="279"/>
      <c r="N18" s="283"/>
      <c r="O18" s="279"/>
      <c r="P18" s="282"/>
      <c r="Q18" s="279"/>
      <c r="R18" s="282"/>
      <c r="S18" s="279"/>
      <c r="T18" s="279"/>
      <c r="U18" s="279"/>
      <c r="V18" s="279">
        <v>480</v>
      </c>
      <c r="W18" s="279">
        <f t="shared" si="3"/>
        <v>2333.3333333333335</v>
      </c>
      <c r="X18" s="279">
        <f t="shared" si="4"/>
        <v>833.33333333333337</v>
      </c>
      <c r="Y18" s="270">
        <f>E18/3</f>
        <v>9333.3333333333339</v>
      </c>
      <c r="Z18" s="273">
        <f t="shared" si="5"/>
        <v>110979.99999999999</v>
      </c>
      <c r="AA18" s="274">
        <f t="shared" si="6"/>
        <v>110979.99999999999</v>
      </c>
      <c r="AB18" s="274">
        <f t="shared" si="7"/>
        <v>1331759.9999999998</v>
      </c>
    </row>
    <row r="19" spans="1:28" ht="33.75" x14ac:dyDescent="0.25">
      <c r="A19" s="260" t="s">
        <v>115</v>
      </c>
      <c r="B19" s="266">
        <v>1</v>
      </c>
      <c r="C19" s="277">
        <v>28000</v>
      </c>
      <c r="D19" s="276"/>
      <c r="E19" s="284">
        <v>28000</v>
      </c>
      <c r="F19" s="276">
        <v>40</v>
      </c>
      <c r="G19" s="270">
        <f t="shared" si="8"/>
        <v>11200</v>
      </c>
      <c r="H19" s="271">
        <v>180</v>
      </c>
      <c r="I19" s="270">
        <f t="shared" si="9"/>
        <v>50400</v>
      </c>
      <c r="J19" s="271">
        <v>30</v>
      </c>
      <c r="K19" s="279">
        <f>E19*J19/100</f>
        <v>8400</v>
      </c>
      <c r="L19" s="282">
        <v>10</v>
      </c>
      <c r="M19" s="279">
        <f>(E19*L19)/100</f>
        <v>2800</v>
      </c>
      <c r="N19" s="283"/>
      <c r="O19" s="279"/>
      <c r="P19" s="282"/>
      <c r="Q19" s="279"/>
      <c r="R19" s="282"/>
      <c r="S19" s="279"/>
      <c r="T19" s="279"/>
      <c r="U19" s="279"/>
      <c r="V19" s="279">
        <v>480</v>
      </c>
      <c r="W19" s="279">
        <f t="shared" si="3"/>
        <v>2333.3333333333335</v>
      </c>
      <c r="X19" s="279">
        <f t="shared" si="4"/>
        <v>833.33333333333337</v>
      </c>
      <c r="Y19" s="270">
        <f>E19/3</f>
        <v>9333.3333333333339</v>
      </c>
      <c r="Z19" s="273">
        <f t="shared" si="5"/>
        <v>113779.99999999999</v>
      </c>
      <c r="AA19" s="274">
        <f t="shared" si="6"/>
        <v>113779.99999999999</v>
      </c>
      <c r="AB19" s="274">
        <f t="shared" si="7"/>
        <v>1365359.9999999998</v>
      </c>
    </row>
    <row r="20" spans="1:28" x14ac:dyDescent="0.25">
      <c r="A20" s="260" t="s">
        <v>116</v>
      </c>
      <c r="B20" s="266">
        <v>8</v>
      </c>
      <c r="C20" s="267">
        <v>5940</v>
      </c>
      <c r="D20" s="275">
        <v>0.7</v>
      </c>
      <c r="E20" s="269">
        <f t="shared" ref="E20:E27" si="10">C20+C20*D20</f>
        <v>10098</v>
      </c>
      <c r="F20" s="268">
        <v>40</v>
      </c>
      <c r="G20" s="270">
        <f t="shared" si="8"/>
        <v>4039.2</v>
      </c>
      <c r="H20" s="271">
        <v>180</v>
      </c>
      <c r="I20" s="270">
        <f t="shared" si="9"/>
        <v>18176.400000000001</v>
      </c>
      <c r="J20" s="271">
        <v>50</v>
      </c>
      <c r="K20" s="279">
        <f>E20*J20/100</f>
        <v>5049</v>
      </c>
      <c r="L20" s="282"/>
      <c r="M20" s="279"/>
      <c r="N20" s="283"/>
      <c r="O20" s="279"/>
      <c r="P20" s="282"/>
      <c r="Q20" s="279"/>
      <c r="R20" s="282"/>
      <c r="S20" s="279"/>
      <c r="T20" s="279"/>
      <c r="U20" s="279"/>
      <c r="V20" s="279">
        <v>480</v>
      </c>
      <c r="W20" s="279">
        <f t="shared" si="3"/>
        <v>841.5</v>
      </c>
      <c r="X20" s="279">
        <f t="shared" si="4"/>
        <v>833.33333333333337</v>
      </c>
      <c r="Y20" s="270">
        <f>E20*0.6/3</f>
        <v>2019.6000000000001</v>
      </c>
      <c r="Z20" s="273">
        <f t="shared" si="5"/>
        <v>41537.03333333334</v>
      </c>
      <c r="AA20" s="274">
        <f t="shared" si="6"/>
        <v>332296.26666666672</v>
      </c>
      <c r="AB20" s="274">
        <f t="shared" si="7"/>
        <v>3987555.2000000007</v>
      </c>
    </row>
    <row r="21" spans="1:28" x14ac:dyDescent="0.25">
      <c r="A21" s="260" t="s">
        <v>117</v>
      </c>
      <c r="B21" s="266">
        <v>2</v>
      </c>
      <c r="C21" s="267">
        <v>5120</v>
      </c>
      <c r="D21" s="275">
        <v>0.6</v>
      </c>
      <c r="E21" s="269">
        <f t="shared" si="10"/>
        <v>8192</v>
      </c>
      <c r="F21" s="268">
        <v>40</v>
      </c>
      <c r="G21" s="270">
        <f t="shared" si="8"/>
        <v>3276.8</v>
      </c>
      <c r="H21" s="271">
        <v>180</v>
      </c>
      <c r="I21" s="270">
        <f t="shared" si="9"/>
        <v>14745.6</v>
      </c>
      <c r="J21" s="271">
        <v>30</v>
      </c>
      <c r="K21" s="279">
        <f>E21*J21/100</f>
        <v>2457.6</v>
      </c>
      <c r="L21" s="282"/>
      <c r="M21" s="279"/>
      <c r="N21" s="283"/>
      <c r="O21" s="279"/>
      <c r="P21" s="282"/>
      <c r="Q21" s="279"/>
      <c r="R21" s="282"/>
      <c r="S21" s="279"/>
      <c r="T21" s="279"/>
      <c r="U21" s="279"/>
      <c r="V21" s="279">
        <f>2*480</f>
        <v>960</v>
      </c>
      <c r="W21" s="279">
        <f t="shared" si="3"/>
        <v>682.66666666666663</v>
      </c>
      <c r="X21" s="279">
        <f t="shared" si="4"/>
        <v>833.33333333333337</v>
      </c>
      <c r="Y21" s="270">
        <f>E21*0.6/3</f>
        <v>1638.3999999999999</v>
      </c>
      <c r="Z21" s="273">
        <f t="shared" si="5"/>
        <v>32786.400000000001</v>
      </c>
      <c r="AA21" s="274">
        <f t="shared" si="6"/>
        <v>65572.800000000003</v>
      </c>
      <c r="AB21" s="274">
        <f t="shared" si="7"/>
        <v>786873.60000000009</v>
      </c>
    </row>
    <row r="22" spans="1:28" x14ac:dyDescent="0.25">
      <c r="A22" s="260" t="s">
        <v>118</v>
      </c>
      <c r="B22" s="266">
        <v>3</v>
      </c>
      <c r="C22" s="277">
        <v>6888</v>
      </c>
      <c r="D22" s="275">
        <v>0.8</v>
      </c>
      <c r="E22" s="280">
        <f t="shared" si="10"/>
        <v>12398.400000000001</v>
      </c>
      <c r="F22" s="278">
        <v>40</v>
      </c>
      <c r="G22" s="270">
        <f t="shared" si="8"/>
        <v>4959.3600000000006</v>
      </c>
      <c r="H22" s="271">
        <v>180</v>
      </c>
      <c r="I22" s="270">
        <f t="shared" si="9"/>
        <v>22317.120000000006</v>
      </c>
      <c r="J22" s="272"/>
      <c r="K22" s="279"/>
      <c r="L22" s="282"/>
      <c r="M22" s="279"/>
      <c r="N22" s="283"/>
      <c r="O22" s="279"/>
      <c r="P22" s="282"/>
      <c r="Q22" s="279"/>
      <c r="R22" s="282"/>
      <c r="S22" s="279"/>
      <c r="T22" s="279"/>
      <c r="U22" s="279"/>
      <c r="V22" s="279">
        <v>480</v>
      </c>
      <c r="W22" s="279">
        <f t="shared" si="3"/>
        <v>1033.2</v>
      </c>
      <c r="X22" s="279">
        <f t="shared" si="4"/>
        <v>833.33333333333337</v>
      </c>
      <c r="Y22" s="270">
        <f>E22/3</f>
        <v>4132.8</v>
      </c>
      <c r="Z22" s="273">
        <f t="shared" si="5"/>
        <v>46154.21333333334</v>
      </c>
      <c r="AA22" s="274">
        <f t="shared" si="6"/>
        <v>138462.64000000001</v>
      </c>
      <c r="AB22" s="274">
        <f t="shared" si="7"/>
        <v>1661551.6800000002</v>
      </c>
    </row>
    <row r="23" spans="1:28" x14ac:dyDescent="0.25">
      <c r="A23" s="260" t="s">
        <v>119</v>
      </c>
      <c r="B23" s="266">
        <v>12</v>
      </c>
      <c r="C23" s="277">
        <v>6411</v>
      </c>
      <c r="D23" s="275">
        <v>0.7</v>
      </c>
      <c r="E23" s="280">
        <f t="shared" si="10"/>
        <v>10898.7</v>
      </c>
      <c r="F23" s="278">
        <v>40</v>
      </c>
      <c r="G23" s="270">
        <f t="shared" si="8"/>
        <v>4359.4799999999996</v>
      </c>
      <c r="H23" s="271">
        <v>180</v>
      </c>
      <c r="I23" s="270">
        <f t="shared" si="9"/>
        <v>19617.660000000003</v>
      </c>
      <c r="J23" s="271"/>
      <c r="K23" s="279"/>
      <c r="L23" s="282"/>
      <c r="M23" s="279"/>
      <c r="N23" s="283">
        <v>15</v>
      </c>
      <c r="O23" s="279">
        <f>N23*E23/100</f>
        <v>1634.8050000000001</v>
      </c>
      <c r="P23" s="282"/>
      <c r="Q23" s="279"/>
      <c r="R23" s="282"/>
      <c r="S23" s="279"/>
      <c r="T23" s="279"/>
      <c r="U23" s="279"/>
      <c r="V23" s="279">
        <v>480</v>
      </c>
      <c r="W23" s="279">
        <f t="shared" si="3"/>
        <v>908.22500000000002</v>
      </c>
      <c r="X23" s="279">
        <f t="shared" si="4"/>
        <v>833.33333333333337</v>
      </c>
      <c r="Y23" s="270">
        <f>E23/3</f>
        <v>3632.9</v>
      </c>
      <c r="Z23" s="273">
        <f t="shared" si="5"/>
        <v>42365.10333333334</v>
      </c>
      <c r="AA23" s="274">
        <f t="shared" si="6"/>
        <v>508381.24000000011</v>
      </c>
      <c r="AB23" s="274">
        <f t="shared" si="7"/>
        <v>6100574.8800000008</v>
      </c>
    </row>
    <row r="24" spans="1:28" x14ac:dyDescent="0.25">
      <c r="A24" s="260" t="s">
        <v>120</v>
      </c>
      <c r="B24" s="266">
        <v>2</v>
      </c>
      <c r="C24" s="277">
        <v>6888</v>
      </c>
      <c r="D24" s="275">
        <v>0.8</v>
      </c>
      <c r="E24" s="280">
        <f t="shared" si="10"/>
        <v>12398.400000000001</v>
      </c>
      <c r="F24" s="278">
        <v>40</v>
      </c>
      <c r="G24" s="279">
        <f t="shared" si="8"/>
        <v>4959.3600000000006</v>
      </c>
      <c r="H24" s="271">
        <v>180</v>
      </c>
      <c r="I24" s="279">
        <f t="shared" si="9"/>
        <v>22317.120000000006</v>
      </c>
      <c r="J24" s="281"/>
      <c r="K24" s="279"/>
      <c r="L24" s="282"/>
      <c r="M24" s="279"/>
      <c r="N24" s="283">
        <v>15</v>
      </c>
      <c r="O24" s="279">
        <f>E24*N24/100</f>
        <v>1859.7600000000002</v>
      </c>
      <c r="P24" s="282"/>
      <c r="Q24" s="279"/>
      <c r="R24" s="282"/>
      <c r="S24" s="279"/>
      <c r="T24" s="279"/>
      <c r="U24" s="279"/>
      <c r="V24" s="279">
        <v>480</v>
      </c>
      <c r="W24" s="279">
        <f t="shared" si="3"/>
        <v>1033.2</v>
      </c>
      <c r="X24" s="279">
        <f t="shared" si="4"/>
        <v>833.33333333333337</v>
      </c>
      <c r="Y24" s="270">
        <f>E24/3</f>
        <v>4132.8</v>
      </c>
      <c r="Z24" s="273">
        <f t="shared" si="5"/>
        <v>48013.973333333342</v>
      </c>
      <c r="AA24" s="274">
        <f t="shared" si="6"/>
        <v>96027.946666666685</v>
      </c>
      <c r="AB24" s="274">
        <f t="shared" si="7"/>
        <v>1152335.3600000003</v>
      </c>
    </row>
    <row r="25" spans="1:28" x14ac:dyDescent="0.25">
      <c r="A25" s="260" t="s">
        <v>121</v>
      </c>
      <c r="B25" s="266">
        <v>2</v>
      </c>
      <c r="C25" s="285">
        <v>6888</v>
      </c>
      <c r="D25" s="276">
        <v>0.8</v>
      </c>
      <c r="E25" s="269">
        <f t="shared" si="10"/>
        <v>12398.400000000001</v>
      </c>
      <c r="F25" s="268">
        <v>40</v>
      </c>
      <c r="G25" s="270">
        <f t="shared" si="8"/>
        <v>4959.3600000000006</v>
      </c>
      <c r="H25" s="271">
        <v>180</v>
      </c>
      <c r="I25" s="270">
        <f t="shared" si="9"/>
        <v>22317.120000000006</v>
      </c>
      <c r="J25" s="271">
        <v>30</v>
      </c>
      <c r="K25" s="279">
        <f>E25*J25/100</f>
        <v>3719.5200000000004</v>
      </c>
      <c r="L25" s="282"/>
      <c r="M25" s="279"/>
      <c r="N25" s="283"/>
      <c r="O25" s="279"/>
      <c r="P25" s="282"/>
      <c r="Q25" s="279"/>
      <c r="R25" s="282"/>
      <c r="S25" s="279"/>
      <c r="T25" s="279"/>
      <c r="U25" s="279"/>
      <c r="V25" s="279">
        <v>480</v>
      </c>
      <c r="W25" s="279">
        <f t="shared" si="3"/>
        <v>1033.2</v>
      </c>
      <c r="X25" s="279">
        <f t="shared" si="4"/>
        <v>833.33333333333337</v>
      </c>
      <c r="Y25" s="270">
        <f>E25*0.6*4/12</f>
        <v>2479.6800000000003</v>
      </c>
      <c r="Z25" s="273">
        <f t="shared" si="5"/>
        <v>48220.613333333342</v>
      </c>
      <c r="AA25" s="274">
        <f t="shared" si="6"/>
        <v>96441.226666666684</v>
      </c>
      <c r="AB25" s="274">
        <f t="shared" si="7"/>
        <v>1157294.7200000002</v>
      </c>
    </row>
    <row r="26" spans="1:28" x14ac:dyDescent="0.25">
      <c r="A26" s="261" t="s">
        <v>122</v>
      </c>
      <c r="B26" s="266">
        <v>1</v>
      </c>
      <c r="C26" s="267">
        <v>5940</v>
      </c>
      <c r="D26" s="275"/>
      <c r="E26" s="269">
        <f t="shared" si="10"/>
        <v>5940</v>
      </c>
      <c r="F26" s="268">
        <v>40</v>
      </c>
      <c r="G26" s="270">
        <f t="shared" si="8"/>
        <v>2376</v>
      </c>
      <c r="H26" s="271">
        <v>180</v>
      </c>
      <c r="I26" s="270">
        <f t="shared" si="9"/>
        <v>10692</v>
      </c>
      <c r="J26" s="271"/>
      <c r="K26" s="279"/>
      <c r="L26" s="282"/>
      <c r="M26" s="279"/>
      <c r="N26" s="283"/>
      <c r="O26" s="279">
        <v>12000</v>
      </c>
      <c r="P26" s="282"/>
      <c r="Q26" s="279"/>
      <c r="R26" s="282"/>
      <c r="S26" s="279"/>
      <c r="T26" s="279"/>
      <c r="U26" s="279"/>
      <c r="V26" s="279">
        <v>480</v>
      </c>
      <c r="W26" s="279">
        <f t="shared" si="3"/>
        <v>495</v>
      </c>
      <c r="X26" s="279">
        <f t="shared" si="4"/>
        <v>833.33333333333337</v>
      </c>
      <c r="Y26" s="270"/>
      <c r="Z26" s="273">
        <f t="shared" si="5"/>
        <v>32816.333333333336</v>
      </c>
      <c r="AA26" s="274">
        <f t="shared" si="6"/>
        <v>32816.333333333336</v>
      </c>
      <c r="AB26" s="274">
        <f t="shared" si="7"/>
        <v>393796</v>
      </c>
    </row>
    <row r="27" spans="1:28" x14ac:dyDescent="0.25">
      <c r="A27" s="260" t="s">
        <v>123</v>
      </c>
      <c r="B27" s="266">
        <v>7</v>
      </c>
      <c r="C27" s="267">
        <v>4223</v>
      </c>
      <c r="D27" s="275">
        <v>0.6</v>
      </c>
      <c r="E27" s="269">
        <f t="shared" si="10"/>
        <v>6756.7999999999993</v>
      </c>
      <c r="F27" s="268">
        <v>40</v>
      </c>
      <c r="G27" s="270">
        <f t="shared" si="8"/>
        <v>2702.72</v>
      </c>
      <c r="H27" s="271">
        <v>180</v>
      </c>
      <c r="I27" s="270">
        <f t="shared" si="9"/>
        <v>12162.239999999998</v>
      </c>
      <c r="J27" s="271">
        <v>30</v>
      </c>
      <c r="K27" s="279">
        <f>E27*J27/100</f>
        <v>2027.0399999999997</v>
      </c>
      <c r="L27" s="282"/>
      <c r="M27" s="279"/>
      <c r="N27" s="283"/>
      <c r="O27" s="279"/>
      <c r="P27" s="282"/>
      <c r="Q27" s="279">
        <f>E27*0.27</f>
        <v>1824.336</v>
      </c>
      <c r="R27" s="282"/>
      <c r="S27" s="279"/>
      <c r="T27" s="279"/>
      <c r="U27" s="279"/>
      <c r="V27" s="279">
        <v>480</v>
      </c>
      <c r="W27" s="279">
        <f t="shared" si="3"/>
        <v>563.06666666666661</v>
      </c>
      <c r="X27" s="279">
        <f t="shared" si="4"/>
        <v>833.33333333333337</v>
      </c>
      <c r="Y27" s="270">
        <f>E27*0.6*4/12</f>
        <v>1351.36</v>
      </c>
      <c r="Z27" s="273">
        <f t="shared" si="5"/>
        <v>28700.895999999993</v>
      </c>
      <c r="AA27" s="274">
        <f t="shared" si="6"/>
        <v>200906.27199999994</v>
      </c>
      <c r="AB27" s="274">
        <f t="shared" si="7"/>
        <v>2410875.2639999995</v>
      </c>
    </row>
    <row r="28" spans="1:28" x14ac:dyDescent="0.25">
      <c r="A28" s="260" t="s">
        <v>32</v>
      </c>
      <c r="B28" s="266">
        <v>1</v>
      </c>
      <c r="C28" s="277">
        <v>40000</v>
      </c>
      <c r="D28" s="276"/>
      <c r="E28" s="284">
        <f>C28</f>
        <v>40000</v>
      </c>
      <c r="F28" s="276">
        <v>40</v>
      </c>
      <c r="G28" s="270">
        <f t="shared" si="8"/>
        <v>16000</v>
      </c>
      <c r="H28" s="271">
        <v>180</v>
      </c>
      <c r="I28" s="270">
        <f t="shared" si="9"/>
        <v>72000</v>
      </c>
      <c r="J28" s="271">
        <v>50</v>
      </c>
      <c r="K28" s="279">
        <f>E28*J28/100</f>
        <v>20000</v>
      </c>
      <c r="L28" s="282"/>
      <c r="M28" s="279"/>
      <c r="N28" s="283"/>
      <c r="O28" s="279"/>
      <c r="P28" s="282"/>
      <c r="Q28" s="279"/>
      <c r="R28" s="282"/>
      <c r="S28" s="279"/>
      <c r="T28" s="279"/>
      <c r="U28" s="279"/>
      <c r="V28" s="279">
        <v>480</v>
      </c>
      <c r="W28" s="279">
        <f t="shared" si="3"/>
        <v>3333.3333333333335</v>
      </c>
      <c r="X28" s="279">
        <f t="shared" si="4"/>
        <v>833.33333333333337</v>
      </c>
      <c r="Y28" s="270">
        <f>E28/3</f>
        <v>13333.333333333334</v>
      </c>
      <c r="Z28" s="273">
        <f t="shared" si="5"/>
        <v>165980.00000000003</v>
      </c>
      <c r="AA28" s="274">
        <f t="shared" si="6"/>
        <v>165980.00000000003</v>
      </c>
      <c r="AB28" s="274">
        <f t="shared" si="7"/>
        <v>1991760.0000000005</v>
      </c>
    </row>
    <row r="29" spans="1:28" x14ac:dyDescent="0.25">
      <c r="A29" s="260" t="s">
        <v>124</v>
      </c>
      <c r="B29" s="266">
        <v>105</v>
      </c>
      <c r="C29" s="267">
        <v>4324</v>
      </c>
      <c r="D29" s="268">
        <v>0.6</v>
      </c>
      <c r="E29" s="280">
        <f t="shared" ref="E29:E36" si="11">C29+C29*D29</f>
        <v>6918.4</v>
      </c>
      <c r="F29" s="268">
        <v>30</v>
      </c>
      <c r="G29" s="279">
        <f t="shared" si="8"/>
        <v>2075.52</v>
      </c>
      <c r="H29" s="281">
        <v>200</v>
      </c>
      <c r="I29" s="279">
        <f t="shared" si="9"/>
        <v>13836.8</v>
      </c>
      <c r="J29" s="281"/>
      <c r="K29" s="279"/>
      <c r="L29" s="282"/>
      <c r="M29" s="279"/>
      <c r="N29" s="283"/>
      <c r="O29" s="279"/>
      <c r="P29" s="282"/>
      <c r="Q29" s="279">
        <f>E29*0.27</f>
        <v>1867.9680000000001</v>
      </c>
      <c r="R29" s="282"/>
      <c r="S29" s="279"/>
      <c r="T29" s="279"/>
      <c r="U29" s="279"/>
      <c r="V29" s="279">
        <v>480</v>
      </c>
      <c r="W29" s="279">
        <f t="shared" si="3"/>
        <v>576.5333333333333</v>
      </c>
      <c r="X29" s="279">
        <f t="shared" si="4"/>
        <v>833.33333333333337</v>
      </c>
      <c r="Y29" s="270">
        <f>E29/3</f>
        <v>2306.1333333333332</v>
      </c>
      <c r="Z29" s="273">
        <f t="shared" si="5"/>
        <v>28894.688000000002</v>
      </c>
      <c r="AA29" s="274">
        <f t="shared" si="6"/>
        <v>3033942.24</v>
      </c>
      <c r="AB29" s="274">
        <f t="shared" si="7"/>
        <v>36407306.880000003</v>
      </c>
    </row>
    <row r="30" spans="1:28" x14ac:dyDescent="0.25">
      <c r="A30" s="260" t="s">
        <v>125</v>
      </c>
      <c r="B30" s="266">
        <v>22</v>
      </c>
      <c r="C30" s="267">
        <v>5529</v>
      </c>
      <c r="D30" s="268">
        <v>0.7</v>
      </c>
      <c r="E30" s="280">
        <f t="shared" si="11"/>
        <v>9399.2999999999993</v>
      </c>
      <c r="F30" s="268">
        <v>40</v>
      </c>
      <c r="G30" s="279">
        <f t="shared" si="8"/>
        <v>3759.72</v>
      </c>
      <c r="H30" s="281">
        <v>200</v>
      </c>
      <c r="I30" s="279">
        <f t="shared" si="9"/>
        <v>18798.599999999999</v>
      </c>
      <c r="J30" s="281"/>
      <c r="K30" s="279"/>
      <c r="L30" s="282"/>
      <c r="M30" s="279"/>
      <c r="N30" s="283"/>
      <c r="O30" s="279"/>
      <c r="P30" s="282"/>
      <c r="Q30" s="279">
        <f>E30*0.26</f>
        <v>2443.8179999999998</v>
      </c>
      <c r="R30" s="282"/>
      <c r="S30" s="279"/>
      <c r="T30" s="279"/>
      <c r="U30" s="279"/>
      <c r="V30" s="279">
        <v>480</v>
      </c>
      <c r="W30" s="279">
        <f t="shared" si="3"/>
        <v>783.27499999999998</v>
      </c>
      <c r="X30" s="279">
        <f t="shared" si="4"/>
        <v>833.33333333333337</v>
      </c>
      <c r="Y30" s="270">
        <f>E30/3</f>
        <v>3133.1</v>
      </c>
      <c r="Z30" s="273">
        <f t="shared" si="5"/>
        <v>39631.14633333333</v>
      </c>
      <c r="AA30" s="274">
        <f t="shared" si="6"/>
        <v>871885.21933333331</v>
      </c>
      <c r="AB30" s="274">
        <f t="shared" si="7"/>
        <v>10462622.631999999</v>
      </c>
    </row>
    <row r="31" spans="1:28" x14ac:dyDescent="0.25">
      <c r="A31" s="260" t="s">
        <v>126</v>
      </c>
      <c r="B31" s="266">
        <v>60</v>
      </c>
      <c r="C31" s="267">
        <v>5120</v>
      </c>
      <c r="D31" s="268">
        <v>0.7</v>
      </c>
      <c r="E31" s="280">
        <f t="shared" si="11"/>
        <v>8704</v>
      </c>
      <c r="F31" s="268">
        <v>40</v>
      </c>
      <c r="G31" s="279">
        <f t="shared" si="8"/>
        <v>3481.6</v>
      </c>
      <c r="H31" s="281">
        <v>200</v>
      </c>
      <c r="I31" s="279">
        <f t="shared" si="9"/>
        <v>17408</v>
      </c>
      <c r="J31" s="281"/>
      <c r="K31" s="279"/>
      <c r="L31" s="282"/>
      <c r="M31" s="279"/>
      <c r="N31" s="283"/>
      <c r="O31" s="279"/>
      <c r="P31" s="282"/>
      <c r="Q31" s="279">
        <f>E31*0.265</f>
        <v>2306.56</v>
      </c>
      <c r="R31" s="282"/>
      <c r="S31" s="279"/>
      <c r="T31" s="279"/>
      <c r="U31" s="279"/>
      <c r="V31" s="279">
        <v>480</v>
      </c>
      <c r="W31" s="279">
        <f t="shared" si="3"/>
        <v>725.33333333333337</v>
      </c>
      <c r="X31" s="279">
        <f t="shared" si="4"/>
        <v>833.33333333333337</v>
      </c>
      <c r="Y31" s="270">
        <f>E31/3</f>
        <v>2901.3333333333335</v>
      </c>
      <c r="Z31" s="273">
        <f t="shared" si="5"/>
        <v>36840.160000000003</v>
      </c>
      <c r="AA31" s="274">
        <f t="shared" si="6"/>
        <v>2210409.6</v>
      </c>
      <c r="AB31" s="274">
        <f t="shared" si="7"/>
        <v>26524915.200000003</v>
      </c>
    </row>
    <row r="32" spans="1:28" x14ac:dyDescent="0.25">
      <c r="A32" s="260" t="s">
        <v>127</v>
      </c>
      <c r="B32" s="266">
        <v>36</v>
      </c>
      <c r="C32" s="267">
        <v>4734</v>
      </c>
      <c r="D32" s="268">
        <v>0.6</v>
      </c>
      <c r="E32" s="280">
        <f t="shared" si="11"/>
        <v>7574.4</v>
      </c>
      <c r="F32" s="268">
        <v>30</v>
      </c>
      <c r="G32" s="279">
        <f t="shared" si="8"/>
        <v>2272.3200000000002</v>
      </c>
      <c r="H32" s="281">
        <v>200</v>
      </c>
      <c r="I32" s="279">
        <f t="shared" si="9"/>
        <v>15148.8</v>
      </c>
      <c r="J32" s="281"/>
      <c r="K32" s="279"/>
      <c r="L32" s="282"/>
      <c r="M32" s="279"/>
      <c r="N32" s="283"/>
      <c r="O32" s="279"/>
      <c r="P32" s="282"/>
      <c r="Q32" s="279">
        <f>E32*0.26888054</f>
        <v>2036.6087621759998</v>
      </c>
      <c r="R32" s="282"/>
      <c r="S32" s="279"/>
      <c r="T32" s="279"/>
      <c r="U32" s="279"/>
      <c r="V32" s="279">
        <v>480</v>
      </c>
      <c r="W32" s="279">
        <f t="shared" si="3"/>
        <v>631.19999999999993</v>
      </c>
      <c r="X32" s="279">
        <f t="shared" si="4"/>
        <v>833.33333333333337</v>
      </c>
      <c r="Y32" s="270">
        <f>E32/3</f>
        <v>2524.7999999999997</v>
      </c>
      <c r="Z32" s="273">
        <f t="shared" si="5"/>
        <v>31501.462095509331</v>
      </c>
      <c r="AA32" s="274">
        <f t="shared" si="6"/>
        <v>1134052.6354383358</v>
      </c>
      <c r="AB32" s="274">
        <f t="shared" si="7"/>
        <v>13608631.625260029</v>
      </c>
    </row>
    <row r="33" spans="1:28" ht="22.5" x14ac:dyDescent="0.25">
      <c r="A33" s="260" t="s">
        <v>128</v>
      </c>
      <c r="B33" s="266">
        <v>49</v>
      </c>
      <c r="C33" s="267">
        <v>4324</v>
      </c>
      <c r="D33" s="268">
        <v>0.6</v>
      </c>
      <c r="E33" s="269">
        <f t="shared" si="11"/>
        <v>6918.4</v>
      </c>
      <c r="F33" s="268">
        <v>30</v>
      </c>
      <c r="G33" s="270">
        <f t="shared" si="8"/>
        <v>2075.52</v>
      </c>
      <c r="H33" s="271">
        <v>180</v>
      </c>
      <c r="I33" s="270">
        <f t="shared" si="9"/>
        <v>12453.12</v>
      </c>
      <c r="J33" s="271"/>
      <c r="K33" s="279"/>
      <c r="L33" s="282"/>
      <c r="M33" s="279"/>
      <c r="N33" s="283"/>
      <c r="O33" s="279"/>
      <c r="P33" s="282"/>
      <c r="Q33" s="279"/>
      <c r="R33" s="282"/>
      <c r="S33" s="279"/>
      <c r="T33" s="279"/>
      <c r="U33" s="279"/>
      <c r="V33" s="279">
        <f>480*2</f>
        <v>960</v>
      </c>
      <c r="W33" s="279">
        <f t="shared" si="3"/>
        <v>576.5333333333333</v>
      </c>
      <c r="X33" s="279">
        <f t="shared" si="4"/>
        <v>833.33333333333337</v>
      </c>
      <c r="Y33" s="270">
        <f>E33*0.6/3</f>
        <v>1383.68</v>
      </c>
      <c r="Z33" s="273">
        <f t="shared" si="5"/>
        <v>25200.586666666666</v>
      </c>
      <c r="AA33" s="274">
        <f t="shared" si="6"/>
        <v>1234828.7466666666</v>
      </c>
      <c r="AB33" s="274">
        <f t="shared" si="7"/>
        <v>14817944.959999999</v>
      </c>
    </row>
    <row r="34" spans="1:28" ht="22.5" x14ac:dyDescent="0.25">
      <c r="A34" s="260" t="s">
        <v>129</v>
      </c>
      <c r="B34" s="266">
        <v>1</v>
      </c>
      <c r="C34" s="267">
        <v>4336</v>
      </c>
      <c r="D34" s="275">
        <v>0.4</v>
      </c>
      <c r="E34" s="269">
        <f t="shared" si="11"/>
        <v>6070.4</v>
      </c>
      <c r="F34" s="268">
        <v>40</v>
      </c>
      <c r="G34" s="270">
        <f t="shared" si="8"/>
        <v>2428.16</v>
      </c>
      <c r="H34" s="271">
        <v>200</v>
      </c>
      <c r="I34" s="270">
        <f t="shared" si="9"/>
        <v>12140.8</v>
      </c>
      <c r="J34" s="271"/>
      <c r="K34" s="279"/>
      <c r="L34" s="282"/>
      <c r="M34" s="279"/>
      <c r="N34" s="283"/>
      <c r="O34" s="279"/>
      <c r="P34" s="282"/>
      <c r="Q34" s="279"/>
      <c r="R34" s="282"/>
      <c r="S34" s="279"/>
      <c r="T34" s="279"/>
      <c r="U34" s="279"/>
      <c r="V34" s="279">
        <f>2*480</f>
        <v>960</v>
      </c>
      <c r="W34" s="279">
        <f t="shared" si="3"/>
        <v>505.86666666666662</v>
      </c>
      <c r="X34" s="279">
        <f t="shared" si="4"/>
        <v>833.33333333333337</v>
      </c>
      <c r="Y34" s="270">
        <f>E34*0.6/3</f>
        <v>1214.08</v>
      </c>
      <c r="Z34" s="273">
        <f t="shared" si="5"/>
        <v>24152.639999999999</v>
      </c>
      <c r="AA34" s="274">
        <f t="shared" si="6"/>
        <v>24152.639999999999</v>
      </c>
      <c r="AB34" s="274">
        <f t="shared" si="7"/>
        <v>289831.67999999999</v>
      </c>
    </row>
    <row r="35" spans="1:28" x14ac:dyDescent="0.25">
      <c r="A35" s="260" t="s">
        <v>130</v>
      </c>
      <c r="B35" s="266">
        <v>19</v>
      </c>
      <c r="C35" s="285">
        <v>2195</v>
      </c>
      <c r="D35" s="276"/>
      <c r="E35" s="269">
        <f t="shared" si="11"/>
        <v>2195</v>
      </c>
      <c r="F35" s="268">
        <v>40</v>
      </c>
      <c r="G35" s="270">
        <f t="shared" si="8"/>
        <v>878</v>
      </c>
      <c r="H35" s="271">
        <v>200</v>
      </c>
      <c r="I35" s="270">
        <f t="shared" si="9"/>
        <v>4390</v>
      </c>
      <c r="J35" s="271"/>
      <c r="K35" s="279">
        <f>E35*J35/100</f>
        <v>0</v>
      </c>
      <c r="L35" s="282"/>
      <c r="M35" s="279"/>
      <c r="N35" s="283"/>
      <c r="O35" s="279"/>
      <c r="P35" s="282"/>
      <c r="Q35" s="279">
        <f>E35*0.27</f>
        <v>592.65000000000009</v>
      </c>
      <c r="R35" s="282"/>
      <c r="S35" s="279"/>
      <c r="T35" s="279"/>
      <c r="U35" s="279">
        <f>11163-(E35+G35+I35)</f>
        <v>3700</v>
      </c>
      <c r="V35" s="279">
        <f>2*480</f>
        <v>960</v>
      </c>
      <c r="W35" s="279">
        <f t="shared" si="3"/>
        <v>182.91666666666666</v>
      </c>
      <c r="X35" s="279">
        <f t="shared" si="4"/>
        <v>833.33333333333337</v>
      </c>
      <c r="Y35" s="270">
        <f>E35/3</f>
        <v>731.66666666666663</v>
      </c>
      <c r="Z35" s="273">
        <f t="shared" si="5"/>
        <v>14463.566666666666</v>
      </c>
      <c r="AA35" s="274">
        <f t="shared" si="6"/>
        <v>274807.76666666666</v>
      </c>
      <c r="AB35" s="274">
        <f t="shared" si="7"/>
        <v>3297693.2</v>
      </c>
    </row>
    <row r="36" spans="1:28" x14ac:dyDescent="0.25">
      <c r="A36" s="260" t="s">
        <v>131</v>
      </c>
      <c r="B36" s="266">
        <v>7</v>
      </c>
      <c r="C36" s="285">
        <v>2195</v>
      </c>
      <c r="D36" s="276"/>
      <c r="E36" s="269">
        <f t="shared" si="11"/>
        <v>2195</v>
      </c>
      <c r="F36" s="268">
        <v>30</v>
      </c>
      <c r="G36" s="270">
        <f t="shared" si="8"/>
        <v>658.5</v>
      </c>
      <c r="H36" s="271">
        <v>200</v>
      </c>
      <c r="I36" s="270">
        <f t="shared" si="9"/>
        <v>4390</v>
      </c>
      <c r="J36" s="271"/>
      <c r="K36" s="279">
        <f>E36*J36/100</f>
        <v>0</v>
      </c>
      <c r="L36" s="282"/>
      <c r="M36" s="279"/>
      <c r="N36" s="283"/>
      <c r="O36" s="279"/>
      <c r="P36" s="282"/>
      <c r="Q36" s="279"/>
      <c r="R36" s="282"/>
      <c r="S36" s="279"/>
      <c r="T36" s="279"/>
      <c r="U36" s="279">
        <f>11163-(E36+G36+I36)</f>
        <v>3919.5</v>
      </c>
      <c r="V36" s="279">
        <f>480*2</f>
        <v>960</v>
      </c>
      <c r="W36" s="279">
        <f t="shared" si="3"/>
        <v>182.91666666666666</v>
      </c>
      <c r="X36" s="279">
        <f t="shared" si="4"/>
        <v>833.33333333333337</v>
      </c>
      <c r="Y36" s="270">
        <f>E36/3</f>
        <v>731.66666666666663</v>
      </c>
      <c r="Z36" s="273">
        <f t="shared" si="5"/>
        <v>13870.916666666666</v>
      </c>
      <c r="AA36" s="274">
        <f t="shared" si="6"/>
        <v>97096.416666666657</v>
      </c>
      <c r="AB36" s="274">
        <f t="shared" si="7"/>
        <v>1165157</v>
      </c>
    </row>
    <row r="37" spans="1:28" x14ac:dyDescent="0.25">
      <c r="A37" s="262"/>
      <c r="B37" s="286">
        <f>SUM(B3:B36)</f>
        <v>392</v>
      </c>
      <c r="C37" s="287">
        <f>SUM(C3:C36)</f>
        <v>315491</v>
      </c>
      <c r="D37" s="287">
        <f t="shared" ref="D37:Y37" si="12">SUM(D3:D36)</f>
        <v>15.5</v>
      </c>
      <c r="E37" s="287">
        <f t="shared" si="12"/>
        <v>403066.70000000013</v>
      </c>
      <c r="F37" s="287"/>
      <c r="G37" s="287">
        <f t="shared" si="12"/>
        <v>146310.32999999999</v>
      </c>
      <c r="H37" s="287"/>
      <c r="I37" s="287">
        <f t="shared" si="12"/>
        <v>734131.3600000001</v>
      </c>
      <c r="J37" s="287"/>
      <c r="K37" s="290">
        <f t="shared" si="12"/>
        <v>91758.86</v>
      </c>
      <c r="L37" s="290"/>
      <c r="M37" s="290">
        <f t="shared" si="12"/>
        <v>2800</v>
      </c>
      <c r="N37" s="290"/>
      <c r="O37" s="290">
        <f t="shared" si="12"/>
        <v>42085.661800000002</v>
      </c>
      <c r="P37" s="290"/>
      <c r="Q37" s="290">
        <f t="shared" si="12"/>
        <v>11071.940762175998</v>
      </c>
      <c r="R37" s="290"/>
      <c r="S37" s="290"/>
      <c r="T37" s="290"/>
      <c r="U37" s="290">
        <f t="shared" si="12"/>
        <v>7619.5</v>
      </c>
      <c r="V37" s="290">
        <f t="shared" si="12"/>
        <v>21120</v>
      </c>
      <c r="W37" s="290">
        <f t="shared" si="12"/>
        <v>33588.891666666656</v>
      </c>
      <c r="X37" s="290">
        <f t="shared" si="12"/>
        <v>28333.333333333321</v>
      </c>
      <c r="Y37" s="287">
        <f t="shared" si="12"/>
        <v>108613.03333333334</v>
      </c>
      <c r="Z37" s="288">
        <f>SUM(Z3:Z36)</f>
        <v>1630499.6108955091</v>
      </c>
      <c r="AA37" s="288">
        <f>SUM(AA3:AA36)</f>
        <v>12719296.667038336</v>
      </c>
      <c r="AB37" s="288">
        <f>SUM(AB3:AB36)</f>
        <v>152631560.00446004</v>
      </c>
    </row>
    <row r="39" spans="1:28" x14ac:dyDescent="0.25">
      <c r="A39" s="263" t="s">
        <v>483</v>
      </c>
      <c r="C39" s="241" t="s">
        <v>502</v>
      </c>
    </row>
  </sheetData>
  <mergeCells count="1">
    <mergeCell ref="A1:V1"/>
  </mergeCells>
  <pageMargins left="0.23622047244094491" right="0.23622047244094491" top="0" bottom="0" header="0.31496062992125984" footer="0.31496062992125984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view="pageBreakPreview" zoomScale="60" zoomScaleNormal="100" workbookViewId="0">
      <selection activeCell="L16" sqref="L16"/>
    </sheetView>
  </sheetViews>
  <sheetFormatPr defaultRowHeight="15" x14ac:dyDescent="0.25"/>
  <cols>
    <col min="2" max="2" width="36.42578125" customWidth="1"/>
    <col min="8" max="8" width="19.140625" customWidth="1"/>
    <col min="13" max="13" width="13.85546875" customWidth="1"/>
    <col min="15" max="15" width="18" customWidth="1"/>
    <col min="17" max="17" width="14.7109375" customWidth="1"/>
    <col min="18" max="18" width="14.85546875" bestFit="1" customWidth="1"/>
    <col min="19" max="19" width="18.7109375" customWidth="1"/>
    <col min="20" max="20" width="8.42578125" bestFit="1" customWidth="1"/>
    <col min="21" max="21" width="18.140625" customWidth="1"/>
    <col min="22" max="22" width="10.85546875" customWidth="1"/>
    <col min="23" max="23" width="10.140625" customWidth="1"/>
    <col min="24" max="24" width="14.7109375" bestFit="1" customWidth="1"/>
    <col min="25" max="25" width="11.5703125" customWidth="1"/>
    <col min="26" max="26" width="13.140625" customWidth="1"/>
  </cols>
  <sheetData>
    <row r="1" spans="1:26" ht="129.75" customHeight="1" x14ac:dyDescent="0.25">
      <c r="A1" s="80" t="s">
        <v>132</v>
      </c>
      <c r="B1" s="80" t="s">
        <v>133</v>
      </c>
      <c r="C1" s="80" t="s">
        <v>134</v>
      </c>
      <c r="D1" s="80" t="s">
        <v>135</v>
      </c>
      <c r="E1" s="80" t="s">
        <v>136</v>
      </c>
      <c r="F1" s="81" t="s">
        <v>137</v>
      </c>
      <c r="G1" s="80" t="s">
        <v>138</v>
      </c>
      <c r="H1" s="82" t="s">
        <v>139</v>
      </c>
      <c r="I1" s="82" t="s">
        <v>140</v>
      </c>
      <c r="J1" s="82" t="s">
        <v>141</v>
      </c>
      <c r="K1" s="82" t="s">
        <v>142</v>
      </c>
      <c r="L1" s="82" t="s">
        <v>143</v>
      </c>
      <c r="M1" s="82" t="s">
        <v>144</v>
      </c>
      <c r="N1" s="80" t="s">
        <v>138</v>
      </c>
      <c r="O1" s="82" t="s">
        <v>139</v>
      </c>
      <c r="P1" s="82" t="s">
        <v>145</v>
      </c>
      <c r="Q1" s="82" t="s">
        <v>146</v>
      </c>
      <c r="R1" s="82" t="s">
        <v>147</v>
      </c>
      <c r="S1" s="82" t="s">
        <v>148</v>
      </c>
      <c r="T1" s="80" t="s">
        <v>138</v>
      </c>
      <c r="U1" s="82" t="s">
        <v>139</v>
      </c>
      <c r="V1" s="80" t="s">
        <v>140</v>
      </c>
      <c r="W1" s="80" t="s">
        <v>149</v>
      </c>
      <c r="X1" s="80" t="s">
        <v>150</v>
      </c>
      <c r="Y1" s="80" t="s">
        <v>151</v>
      </c>
      <c r="Z1" s="80" t="s">
        <v>144</v>
      </c>
    </row>
    <row r="2" spans="1:26" ht="15.75" x14ac:dyDescent="0.25">
      <c r="A2" s="82">
        <v>1</v>
      </c>
      <c r="B2" s="82">
        <v>2</v>
      </c>
      <c r="C2" s="82">
        <v>3</v>
      </c>
      <c r="D2" s="82">
        <v>4</v>
      </c>
      <c r="E2" s="82">
        <v>5</v>
      </c>
      <c r="F2" s="82">
        <v>6</v>
      </c>
      <c r="G2" s="82">
        <v>1</v>
      </c>
      <c r="H2" s="82">
        <v>2</v>
      </c>
      <c r="I2" s="82">
        <v>3</v>
      </c>
      <c r="J2" s="82">
        <v>4</v>
      </c>
      <c r="K2" s="82">
        <v>5</v>
      </c>
      <c r="L2" s="82">
        <v>6</v>
      </c>
      <c r="M2" s="82">
        <v>7</v>
      </c>
      <c r="N2" s="82">
        <v>1</v>
      </c>
      <c r="O2" s="82">
        <v>2</v>
      </c>
      <c r="P2" s="82">
        <v>3</v>
      </c>
      <c r="Q2" s="82">
        <v>4</v>
      </c>
      <c r="R2" s="82">
        <v>5</v>
      </c>
      <c r="S2" s="82">
        <v>6</v>
      </c>
      <c r="T2" s="82">
        <v>1</v>
      </c>
      <c r="U2" s="82">
        <v>2</v>
      </c>
      <c r="V2" s="82">
        <v>3</v>
      </c>
      <c r="W2" s="82">
        <v>4</v>
      </c>
      <c r="X2" s="82">
        <v>5</v>
      </c>
      <c r="Y2" s="82">
        <v>6</v>
      </c>
      <c r="Z2" s="82">
        <v>7</v>
      </c>
    </row>
    <row r="3" spans="1:26" ht="15.75" x14ac:dyDescent="0.25">
      <c r="A3" s="83">
        <v>1</v>
      </c>
      <c r="B3" s="80" t="s">
        <v>152</v>
      </c>
      <c r="C3" s="84">
        <v>0.5</v>
      </c>
      <c r="D3" s="85">
        <v>1000</v>
      </c>
      <c r="E3" s="84">
        <v>140</v>
      </c>
      <c r="F3" s="86">
        <f>C3*E3/D3</f>
        <v>7.0000000000000007E-2</v>
      </c>
      <c r="G3" s="83">
        <v>1</v>
      </c>
      <c r="H3" s="80" t="s">
        <v>153</v>
      </c>
      <c r="I3" s="82">
        <v>22</v>
      </c>
      <c r="J3" s="82">
        <v>5</v>
      </c>
      <c r="K3" s="82">
        <v>2</v>
      </c>
      <c r="L3" s="82">
        <v>100</v>
      </c>
      <c r="M3" s="87">
        <f>I3*J3*K3*L3</f>
        <v>22000</v>
      </c>
      <c r="N3" s="83">
        <v>1</v>
      </c>
      <c r="O3" s="80" t="s">
        <v>154</v>
      </c>
      <c r="P3" s="82">
        <v>22</v>
      </c>
      <c r="Q3" s="82">
        <v>2</v>
      </c>
      <c r="R3" s="87">
        <v>1000</v>
      </c>
      <c r="S3" s="88">
        <f>P3*Q3*R3</f>
        <v>44000</v>
      </c>
      <c r="T3" s="83">
        <v>1</v>
      </c>
      <c r="U3" s="80" t="s">
        <v>155</v>
      </c>
      <c r="V3" s="82">
        <v>6</v>
      </c>
      <c r="W3" s="82">
        <v>5</v>
      </c>
      <c r="X3" s="82">
        <v>2</v>
      </c>
      <c r="Y3" s="87">
        <v>2500</v>
      </c>
      <c r="Z3" s="88">
        <f>V3*W3*X3*Y3</f>
        <v>150000</v>
      </c>
    </row>
    <row r="4" spans="1:26" ht="15.75" x14ac:dyDescent="0.25">
      <c r="A4" s="83">
        <f>A3+1</f>
        <v>2</v>
      </c>
      <c r="B4" s="80" t="s">
        <v>156</v>
      </c>
      <c r="C4" s="84">
        <v>160</v>
      </c>
      <c r="D4" s="85">
        <v>1000</v>
      </c>
      <c r="E4" s="84">
        <v>37.79</v>
      </c>
      <c r="F4" s="86">
        <f t="shared" ref="F4:F39" si="0">C4*E4/D4</f>
        <v>6.0463999999999993</v>
      </c>
      <c r="G4" s="83">
        <f>G3+1</f>
        <v>2</v>
      </c>
      <c r="H4" s="80" t="s">
        <v>157</v>
      </c>
      <c r="I4" s="82">
        <v>10</v>
      </c>
      <c r="J4" s="82">
        <v>6</v>
      </c>
      <c r="K4" s="82">
        <v>2</v>
      </c>
      <c r="L4" s="82">
        <v>100</v>
      </c>
      <c r="M4" s="87">
        <f>I4*J4*K4*L4</f>
        <v>12000</v>
      </c>
      <c r="N4" s="83">
        <f>N3+1</f>
        <v>2</v>
      </c>
      <c r="O4" s="80" t="s">
        <v>157</v>
      </c>
      <c r="P4" s="82">
        <v>10</v>
      </c>
      <c r="Q4" s="82">
        <v>2</v>
      </c>
      <c r="R4" s="87">
        <v>7000</v>
      </c>
      <c r="S4" s="88">
        <f>P4*Q4*R4</f>
        <v>140000</v>
      </c>
      <c r="T4" s="83">
        <f>T3+1</f>
        <v>2</v>
      </c>
      <c r="U4" s="80" t="s">
        <v>157</v>
      </c>
      <c r="V4" s="82">
        <v>4</v>
      </c>
      <c r="W4" s="82">
        <v>6</v>
      </c>
      <c r="X4" s="82">
        <v>2</v>
      </c>
      <c r="Y4" s="87">
        <v>2500</v>
      </c>
      <c r="Z4" s="88">
        <f>V4*W4*X4*Y4</f>
        <v>120000</v>
      </c>
    </row>
    <row r="5" spans="1:26" ht="31.5" x14ac:dyDescent="0.25">
      <c r="A5" s="83">
        <f t="shared" ref="A5:A39" si="1">A4+1</f>
        <v>3</v>
      </c>
      <c r="B5" s="89" t="s">
        <v>158</v>
      </c>
      <c r="C5" s="90">
        <v>400</v>
      </c>
      <c r="D5" s="91">
        <v>1000</v>
      </c>
      <c r="E5" s="84">
        <v>36.01</v>
      </c>
      <c r="F5" s="86">
        <f t="shared" si="0"/>
        <v>14.404</v>
      </c>
      <c r="G5" s="83">
        <f>G4+1</f>
        <v>3</v>
      </c>
      <c r="H5" s="80" t="s">
        <v>159</v>
      </c>
      <c r="I5" s="82">
        <v>25</v>
      </c>
      <c r="J5" s="82">
        <v>5</v>
      </c>
      <c r="K5" s="82">
        <v>6</v>
      </c>
      <c r="L5" s="82">
        <v>100</v>
      </c>
      <c r="M5" s="87">
        <f>I5*J5*K5*L5+2000</f>
        <v>77000</v>
      </c>
      <c r="N5" s="83">
        <f>N4+1</f>
        <v>3</v>
      </c>
      <c r="O5" s="80" t="s">
        <v>160</v>
      </c>
      <c r="P5" s="82">
        <v>25</v>
      </c>
      <c r="Q5" s="82">
        <v>6</v>
      </c>
      <c r="R5" s="87">
        <v>400</v>
      </c>
      <c r="S5" s="88">
        <f>P5*Q5*R5</f>
        <v>60000</v>
      </c>
      <c r="T5" s="83">
        <f>T4+1</f>
        <v>3</v>
      </c>
      <c r="U5" s="80" t="s">
        <v>160</v>
      </c>
      <c r="V5" s="82">
        <v>25</v>
      </c>
      <c r="W5" s="82">
        <v>5</v>
      </c>
      <c r="X5" s="82">
        <v>6</v>
      </c>
      <c r="Y5" s="82">
        <v>500</v>
      </c>
      <c r="Z5" s="88">
        <f>V5*W5*X5*Y5</f>
        <v>375000</v>
      </c>
    </row>
    <row r="6" spans="1:26" ht="15.75" x14ac:dyDescent="0.25">
      <c r="A6" s="83">
        <f t="shared" si="1"/>
        <v>4</v>
      </c>
      <c r="B6" s="89" t="s">
        <v>161</v>
      </c>
      <c r="C6" s="90">
        <v>25</v>
      </c>
      <c r="D6" s="91">
        <v>1000</v>
      </c>
      <c r="E6" s="84">
        <v>640</v>
      </c>
      <c r="F6" s="86">
        <f t="shared" si="0"/>
        <v>16</v>
      </c>
      <c r="G6" s="71"/>
      <c r="H6" s="92" t="s">
        <v>75</v>
      </c>
      <c r="I6" s="93">
        <v>87</v>
      </c>
      <c r="J6" s="93">
        <v>39</v>
      </c>
      <c r="K6" s="93">
        <v>19</v>
      </c>
      <c r="L6" s="92"/>
      <c r="M6" s="94">
        <f>SUM(M3:M5)</f>
        <v>111000</v>
      </c>
      <c r="N6" s="72"/>
      <c r="O6" s="80" t="s">
        <v>162</v>
      </c>
      <c r="P6" s="80"/>
      <c r="Q6" s="80"/>
      <c r="R6" s="80"/>
      <c r="S6" s="95">
        <f>SUM(S3:S5)</f>
        <v>244000</v>
      </c>
      <c r="T6" s="72"/>
      <c r="U6" s="92" t="s">
        <v>75</v>
      </c>
      <c r="V6" s="92"/>
      <c r="W6" s="92"/>
      <c r="X6" s="92"/>
      <c r="Y6" s="92"/>
      <c r="Z6" s="95">
        <f>SUM(Z3:Z5)</f>
        <v>645000</v>
      </c>
    </row>
    <row r="7" spans="1:26" ht="15.75" x14ac:dyDescent="0.25">
      <c r="A7" s="83">
        <f t="shared" si="1"/>
        <v>5</v>
      </c>
      <c r="B7" s="80" t="s">
        <v>163</v>
      </c>
      <c r="C7" s="84">
        <v>4</v>
      </c>
      <c r="D7" s="85">
        <v>1000</v>
      </c>
      <c r="E7" s="84">
        <v>1690</v>
      </c>
      <c r="F7" s="86">
        <f t="shared" si="0"/>
        <v>6.76</v>
      </c>
    </row>
    <row r="8" spans="1:26" ht="15.75" x14ac:dyDescent="0.25">
      <c r="A8" s="83">
        <f t="shared" si="1"/>
        <v>6</v>
      </c>
      <c r="B8" s="89" t="s">
        <v>164</v>
      </c>
      <c r="C8" s="90">
        <v>30</v>
      </c>
      <c r="D8" s="91">
        <v>1000</v>
      </c>
      <c r="E8" s="84">
        <v>69</v>
      </c>
      <c r="F8" s="86">
        <f t="shared" si="0"/>
        <v>2.0699999999999998</v>
      </c>
    </row>
    <row r="9" spans="1:26" ht="15.75" x14ac:dyDescent="0.25">
      <c r="A9" s="83">
        <f t="shared" si="1"/>
        <v>7</v>
      </c>
      <c r="B9" s="89" t="s">
        <v>165</v>
      </c>
      <c r="C9" s="90">
        <v>30</v>
      </c>
      <c r="D9" s="91">
        <v>1000</v>
      </c>
      <c r="E9" s="84">
        <v>35.68</v>
      </c>
      <c r="F9" s="86">
        <f t="shared" si="0"/>
        <v>1.0704</v>
      </c>
    </row>
    <row r="10" spans="1:26" ht="15.75" x14ac:dyDescent="0.25">
      <c r="A10" s="83">
        <f t="shared" si="1"/>
        <v>8</v>
      </c>
      <c r="B10" s="80" t="s">
        <v>166</v>
      </c>
      <c r="C10" s="84">
        <v>30</v>
      </c>
      <c r="D10" s="85">
        <v>500</v>
      </c>
      <c r="E10" s="84" t="str">
        <f>'[1]Первый лист'!C209</f>
        <v>67,96</v>
      </c>
      <c r="F10" s="86">
        <f t="shared" si="0"/>
        <v>4.0775999999999994</v>
      </c>
    </row>
    <row r="11" spans="1:26" ht="15.75" x14ac:dyDescent="0.25">
      <c r="A11" s="83">
        <f t="shared" si="1"/>
        <v>9</v>
      </c>
      <c r="B11" s="89" t="s">
        <v>167</v>
      </c>
      <c r="C11" s="90">
        <v>10</v>
      </c>
      <c r="D11" s="91">
        <v>1000</v>
      </c>
      <c r="E11" s="84">
        <v>123</v>
      </c>
      <c r="F11" s="86">
        <f t="shared" si="0"/>
        <v>1.23</v>
      </c>
    </row>
    <row r="12" spans="1:26" ht="15.75" x14ac:dyDescent="0.25">
      <c r="A12" s="83">
        <f t="shared" si="1"/>
        <v>10</v>
      </c>
      <c r="B12" s="80" t="s">
        <v>168</v>
      </c>
      <c r="C12" s="84">
        <v>25</v>
      </c>
      <c r="D12" s="85">
        <v>1000</v>
      </c>
      <c r="E12" s="84">
        <v>348.17</v>
      </c>
      <c r="F12" s="86">
        <f t="shared" si="0"/>
        <v>8.70425</v>
      </c>
    </row>
    <row r="13" spans="1:26" ht="15.75" x14ac:dyDescent="0.25">
      <c r="A13" s="83">
        <f t="shared" si="1"/>
        <v>11</v>
      </c>
      <c r="B13" s="89" t="s">
        <v>169</v>
      </c>
      <c r="C13" s="90">
        <v>25</v>
      </c>
      <c r="D13" s="91">
        <v>1000</v>
      </c>
      <c r="E13" s="84">
        <v>90.97</v>
      </c>
      <c r="F13" s="86">
        <f t="shared" si="0"/>
        <v>2.2742499999999999</v>
      </c>
    </row>
    <row r="14" spans="1:26" ht="15.75" x14ac:dyDescent="0.25">
      <c r="A14" s="83">
        <f t="shared" si="1"/>
        <v>12</v>
      </c>
      <c r="B14" s="89" t="s">
        <v>170</v>
      </c>
      <c r="C14" s="90">
        <v>1500</v>
      </c>
      <c r="D14" s="91">
        <v>1000</v>
      </c>
      <c r="E14" s="84">
        <v>33.24</v>
      </c>
      <c r="F14" s="86">
        <f t="shared" si="0"/>
        <v>49.86</v>
      </c>
    </row>
    <row r="15" spans="1:26" ht="15.75" x14ac:dyDescent="0.25">
      <c r="A15" s="83">
        <f t="shared" si="1"/>
        <v>13</v>
      </c>
      <c r="B15" s="89" t="s">
        <v>171</v>
      </c>
      <c r="C15" s="90">
        <v>300</v>
      </c>
      <c r="D15" s="91">
        <v>1000</v>
      </c>
      <c r="E15" s="84">
        <v>63</v>
      </c>
      <c r="F15" s="86">
        <f t="shared" si="0"/>
        <v>18.899999999999999</v>
      </c>
    </row>
    <row r="16" spans="1:26" ht="15.75" x14ac:dyDescent="0.25">
      <c r="A16" s="83">
        <f t="shared" si="1"/>
        <v>14</v>
      </c>
      <c r="B16" s="80" t="s">
        <v>172</v>
      </c>
      <c r="C16" s="84">
        <v>75</v>
      </c>
      <c r="D16" s="85">
        <v>1000</v>
      </c>
      <c r="E16" s="84">
        <v>39.82</v>
      </c>
      <c r="F16" s="86">
        <f t="shared" si="0"/>
        <v>2.9864999999999999</v>
      </c>
    </row>
    <row r="17" spans="1:6" ht="15.75" x14ac:dyDescent="0.25">
      <c r="A17" s="83">
        <f t="shared" si="1"/>
        <v>15</v>
      </c>
      <c r="B17" s="80" t="s">
        <v>173</v>
      </c>
      <c r="C17" s="84">
        <v>40</v>
      </c>
      <c r="D17" s="85">
        <v>1000</v>
      </c>
      <c r="E17" s="84">
        <v>33</v>
      </c>
      <c r="F17" s="86">
        <f t="shared" si="0"/>
        <v>1.32</v>
      </c>
    </row>
    <row r="18" spans="1:6" ht="15.75" x14ac:dyDescent="0.25">
      <c r="A18" s="83">
        <f t="shared" si="1"/>
        <v>16</v>
      </c>
      <c r="B18" s="89" t="s">
        <v>174</v>
      </c>
      <c r="C18" s="90">
        <v>180</v>
      </c>
      <c r="D18" s="91">
        <v>1000</v>
      </c>
      <c r="E18" s="84">
        <v>300</v>
      </c>
      <c r="F18" s="86">
        <f t="shared" si="0"/>
        <v>54</v>
      </c>
    </row>
    <row r="19" spans="1:6" ht="15.75" x14ac:dyDescent="0.25">
      <c r="A19" s="83">
        <f t="shared" si="1"/>
        <v>17</v>
      </c>
      <c r="B19" s="80" t="s">
        <v>175</v>
      </c>
      <c r="C19" s="84">
        <v>70</v>
      </c>
      <c r="D19" s="85">
        <v>1000</v>
      </c>
      <c r="E19" s="84">
        <v>130</v>
      </c>
      <c r="F19" s="86">
        <f t="shared" si="0"/>
        <v>9.1</v>
      </c>
    </row>
    <row r="20" spans="1:6" ht="15.75" x14ac:dyDescent="0.25">
      <c r="A20" s="83">
        <f t="shared" si="1"/>
        <v>18</v>
      </c>
      <c r="B20" s="89" t="s">
        <v>176</v>
      </c>
      <c r="C20" s="90">
        <v>10</v>
      </c>
      <c r="D20" s="91">
        <v>1000</v>
      </c>
      <c r="E20" s="84">
        <v>41.02</v>
      </c>
      <c r="F20" s="86">
        <f t="shared" si="0"/>
        <v>0.41020000000000006</v>
      </c>
    </row>
    <row r="21" spans="1:6" ht="15.75" x14ac:dyDescent="0.25">
      <c r="A21" s="83">
        <f t="shared" si="1"/>
        <v>19</v>
      </c>
      <c r="B21" s="89" t="s">
        <v>177</v>
      </c>
      <c r="C21" s="90">
        <v>0.3</v>
      </c>
      <c r="D21" s="91">
        <v>1000</v>
      </c>
      <c r="E21" s="84">
        <v>744.08</v>
      </c>
      <c r="F21" s="86">
        <f t="shared" si="0"/>
        <v>0.22322400000000001</v>
      </c>
    </row>
    <row r="22" spans="1:6" ht="15.75" x14ac:dyDescent="0.25">
      <c r="A22" s="83">
        <f t="shared" si="1"/>
        <v>20</v>
      </c>
      <c r="B22" s="80" t="s">
        <v>178</v>
      </c>
      <c r="C22" s="84">
        <v>5</v>
      </c>
      <c r="D22" s="85">
        <v>1000</v>
      </c>
      <c r="E22" s="84">
        <v>129.80000000000001</v>
      </c>
      <c r="F22" s="86">
        <f t="shared" si="0"/>
        <v>0.64900000000000002</v>
      </c>
    </row>
    <row r="23" spans="1:6" ht="15.75" x14ac:dyDescent="0.25">
      <c r="A23" s="83">
        <f t="shared" si="1"/>
        <v>21</v>
      </c>
      <c r="B23" s="89" t="s">
        <v>179</v>
      </c>
      <c r="C23" s="90">
        <v>15</v>
      </c>
      <c r="D23" s="91">
        <v>1000</v>
      </c>
      <c r="E23" s="84">
        <v>260.39999999999998</v>
      </c>
      <c r="F23" s="86">
        <f t="shared" si="0"/>
        <v>3.9059999999999997</v>
      </c>
    </row>
    <row r="24" spans="1:6" ht="15.75" x14ac:dyDescent="0.25">
      <c r="A24" s="83">
        <f t="shared" si="1"/>
        <v>22</v>
      </c>
      <c r="B24" s="80" t="s">
        <v>180</v>
      </c>
      <c r="C24" s="84">
        <v>25</v>
      </c>
      <c r="D24" s="85">
        <v>1000</v>
      </c>
      <c r="E24" s="84">
        <v>59</v>
      </c>
      <c r="F24" s="86">
        <f t="shared" si="0"/>
        <v>1.4750000000000001</v>
      </c>
    </row>
    <row r="25" spans="1:6" ht="15.75" x14ac:dyDescent="0.25">
      <c r="A25" s="83">
        <f t="shared" si="1"/>
        <v>23</v>
      </c>
      <c r="B25" s="89" t="s">
        <v>181</v>
      </c>
      <c r="C25" s="90">
        <v>115</v>
      </c>
      <c r="D25" s="91">
        <v>1000</v>
      </c>
      <c r="E25" s="84">
        <v>147.93</v>
      </c>
      <c r="F25" s="86">
        <f t="shared" si="0"/>
        <v>17.011950000000002</v>
      </c>
    </row>
    <row r="26" spans="1:6" ht="15.75" x14ac:dyDescent="0.25">
      <c r="A26" s="83">
        <f t="shared" si="1"/>
        <v>24</v>
      </c>
      <c r="B26" s="89" t="s">
        <v>182</v>
      </c>
      <c r="C26" s="90">
        <v>70</v>
      </c>
      <c r="D26" s="91">
        <v>1000</v>
      </c>
      <c r="E26" s="84">
        <v>55</v>
      </c>
      <c r="F26" s="86">
        <f t="shared" si="0"/>
        <v>3.85</v>
      </c>
    </row>
    <row r="27" spans="1:6" ht="15.75" x14ac:dyDescent="0.25">
      <c r="A27" s="83">
        <f t="shared" si="1"/>
        <v>25</v>
      </c>
      <c r="B27" s="89" t="s">
        <v>183</v>
      </c>
      <c r="C27" s="90">
        <v>40</v>
      </c>
      <c r="D27" s="91">
        <v>1000</v>
      </c>
      <c r="E27" s="84">
        <v>36.25</v>
      </c>
      <c r="F27" s="86">
        <f t="shared" si="0"/>
        <v>1.45</v>
      </c>
    </row>
    <row r="28" spans="1:6" ht="15.75" x14ac:dyDescent="0.25">
      <c r="A28" s="83">
        <f t="shared" si="1"/>
        <v>26</v>
      </c>
      <c r="B28" s="89" t="s">
        <v>184</v>
      </c>
      <c r="C28" s="90">
        <v>15</v>
      </c>
      <c r="D28" s="91">
        <v>1000</v>
      </c>
      <c r="E28" s="84">
        <v>190</v>
      </c>
      <c r="F28" s="86">
        <f t="shared" si="0"/>
        <v>2.85</v>
      </c>
    </row>
    <row r="29" spans="1:6" ht="15.75" x14ac:dyDescent="0.25">
      <c r="A29" s="83">
        <f t="shared" si="1"/>
        <v>27</v>
      </c>
      <c r="B29" s="89" t="s">
        <v>185</v>
      </c>
      <c r="C29" s="90">
        <v>10</v>
      </c>
      <c r="D29" s="91">
        <v>1000</v>
      </c>
      <c r="E29" s="84">
        <v>12.39</v>
      </c>
      <c r="F29" s="86">
        <f t="shared" si="0"/>
        <v>0.12390000000000001</v>
      </c>
    </row>
    <row r="30" spans="1:6" ht="15.75" x14ac:dyDescent="0.25">
      <c r="A30" s="83">
        <f t="shared" si="1"/>
        <v>28</v>
      </c>
      <c r="B30" s="80" t="s">
        <v>186</v>
      </c>
      <c r="C30" s="84">
        <v>20</v>
      </c>
      <c r="D30" s="85">
        <v>1000</v>
      </c>
      <c r="E30" s="84">
        <v>203.86</v>
      </c>
      <c r="F30" s="86">
        <f t="shared" si="0"/>
        <v>4.0772000000000004</v>
      </c>
    </row>
    <row r="31" spans="1:6" ht="15.75" x14ac:dyDescent="0.25">
      <c r="A31" s="83">
        <f t="shared" si="1"/>
        <v>29</v>
      </c>
      <c r="B31" s="80" t="s">
        <v>187</v>
      </c>
      <c r="C31" s="84">
        <v>35</v>
      </c>
      <c r="D31" s="85">
        <v>1000</v>
      </c>
      <c r="E31" s="84">
        <v>199.57</v>
      </c>
      <c r="F31" s="86">
        <f t="shared" si="0"/>
        <v>6.9849499999999995</v>
      </c>
    </row>
    <row r="32" spans="1:6" ht="15.75" x14ac:dyDescent="0.25">
      <c r="A32" s="83">
        <f t="shared" si="1"/>
        <v>30</v>
      </c>
      <c r="B32" s="80" t="s">
        <v>188</v>
      </c>
      <c r="C32" s="84">
        <v>1</v>
      </c>
      <c r="D32" s="85">
        <v>1000</v>
      </c>
      <c r="E32" s="84">
        <v>18</v>
      </c>
      <c r="F32" s="86">
        <f t="shared" si="0"/>
        <v>1.7999999999999999E-2</v>
      </c>
    </row>
    <row r="33" spans="1:6" ht="15.75" x14ac:dyDescent="0.25">
      <c r="A33" s="83">
        <f t="shared" si="1"/>
        <v>31</v>
      </c>
      <c r="B33" s="80" t="s">
        <v>189</v>
      </c>
      <c r="C33" s="84">
        <v>40</v>
      </c>
      <c r="D33" s="85">
        <v>1000</v>
      </c>
      <c r="E33" s="84" t="str">
        <f>'[1]Первый лист'!C80</f>
        <v>59,72</v>
      </c>
      <c r="F33" s="86">
        <f t="shared" si="0"/>
        <v>2.3888000000000003</v>
      </c>
    </row>
    <row r="34" spans="1:6" ht="15.75" x14ac:dyDescent="0.25">
      <c r="A34" s="83">
        <f t="shared" si="1"/>
        <v>32</v>
      </c>
      <c r="B34" s="80" t="s">
        <v>190</v>
      </c>
      <c r="C34" s="84">
        <v>200</v>
      </c>
      <c r="D34" s="85">
        <v>1000</v>
      </c>
      <c r="E34" s="84">
        <v>113.12</v>
      </c>
      <c r="F34" s="86">
        <f t="shared" si="0"/>
        <v>22.623999999999999</v>
      </c>
    </row>
    <row r="35" spans="1:6" ht="15.75" x14ac:dyDescent="0.25">
      <c r="A35" s="83">
        <f t="shared" si="1"/>
        <v>33</v>
      </c>
      <c r="B35" s="80" t="s">
        <v>191</v>
      </c>
      <c r="C35" s="84">
        <v>25</v>
      </c>
      <c r="D35" s="85">
        <v>1000</v>
      </c>
      <c r="E35" s="84">
        <v>337.59</v>
      </c>
      <c r="F35" s="86">
        <f t="shared" si="0"/>
        <v>8.4397500000000001</v>
      </c>
    </row>
    <row r="36" spans="1:6" ht="15.75" x14ac:dyDescent="0.25">
      <c r="A36" s="83">
        <f t="shared" si="1"/>
        <v>34</v>
      </c>
      <c r="B36" s="80" t="s">
        <v>192</v>
      </c>
      <c r="C36" s="84">
        <v>200</v>
      </c>
      <c r="D36" s="85">
        <v>500</v>
      </c>
      <c r="E36" s="84">
        <v>30.87</v>
      </c>
      <c r="F36" s="86">
        <f t="shared" si="0"/>
        <v>12.348000000000001</v>
      </c>
    </row>
    <row r="37" spans="1:6" ht="31.5" x14ac:dyDescent="0.25">
      <c r="A37" s="83">
        <f t="shared" si="1"/>
        <v>35</v>
      </c>
      <c r="B37" s="80" t="s">
        <v>193</v>
      </c>
      <c r="C37" s="84">
        <v>300</v>
      </c>
      <c r="D37" s="85">
        <v>750</v>
      </c>
      <c r="E37" s="84">
        <v>30.52</v>
      </c>
      <c r="F37" s="86">
        <f t="shared" si="0"/>
        <v>12.208</v>
      </c>
    </row>
    <row r="38" spans="1:6" ht="15.75" x14ac:dyDescent="0.25">
      <c r="A38" s="83">
        <f t="shared" si="1"/>
        <v>36</v>
      </c>
      <c r="B38" s="80" t="s">
        <v>194</v>
      </c>
      <c r="C38" s="84">
        <v>6</v>
      </c>
      <c r="D38" s="85">
        <v>1000</v>
      </c>
      <c r="E38" s="84">
        <v>698</v>
      </c>
      <c r="F38" s="86">
        <f t="shared" si="0"/>
        <v>4.1879999999999997</v>
      </c>
    </row>
    <row r="39" spans="1:6" ht="15.75" x14ac:dyDescent="0.25">
      <c r="A39" s="83">
        <f t="shared" si="1"/>
        <v>37</v>
      </c>
      <c r="B39" s="80" t="s">
        <v>195</v>
      </c>
      <c r="C39" s="90">
        <v>5</v>
      </c>
      <c r="D39" s="85">
        <v>7</v>
      </c>
      <c r="E39" s="84">
        <v>59.82</v>
      </c>
      <c r="F39" s="86">
        <f t="shared" si="0"/>
        <v>42.728571428571435</v>
      </c>
    </row>
    <row r="40" spans="1:6" ht="15.75" x14ac:dyDescent="0.25">
      <c r="A40" s="96"/>
      <c r="B40" s="97"/>
      <c r="C40" s="96"/>
      <c r="D40" s="96"/>
      <c r="E40" s="96"/>
      <c r="F40" s="98">
        <f>SUM(F3:F39)</f>
        <v>346.82794542857147</v>
      </c>
    </row>
  </sheetData>
  <pageMargins left="0.7" right="0.7" top="0.75" bottom="0.75" header="0.3" footer="0.3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>
      <selection activeCell="A35" sqref="A35:G39"/>
    </sheetView>
  </sheetViews>
  <sheetFormatPr defaultRowHeight="15" x14ac:dyDescent="0.25"/>
  <cols>
    <col min="2" max="2" width="57.28515625" customWidth="1"/>
    <col min="6" max="6" width="14.85546875" customWidth="1"/>
    <col min="7" max="7" width="12.28515625" customWidth="1"/>
  </cols>
  <sheetData>
    <row r="1" spans="1:7" ht="18.75" x14ac:dyDescent="0.25">
      <c r="A1" s="99"/>
      <c r="B1" s="320" t="s">
        <v>196</v>
      </c>
      <c r="C1" s="320"/>
      <c r="D1" s="320"/>
      <c r="E1" s="320"/>
      <c r="F1" s="320"/>
      <c r="G1" s="320"/>
    </row>
    <row r="2" spans="1:7" ht="63" x14ac:dyDescent="0.25">
      <c r="A2" s="100" t="s">
        <v>132</v>
      </c>
      <c r="B2" s="100" t="s">
        <v>197</v>
      </c>
      <c r="C2" s="100" t="s">
        <v>198</v>
      </c>
      <c r="D2" s="100" t="s">
        <v>199</v>
      </c>
      <c r="E2" s="100" t="s">
        <v>200</v>
      </c>
      <c r="F2" s="100" t="s">
        <v>201</v>
      </c>
      <c r="G2" s="100" t="s">
        <v>202</v>
      </c>
    </row>
    <row r="3" spans="1:7" ht="15.75" x14ac:dyDescent="0.25">
      <c r="A3" s="100">
        <v>1</v>
      </c>
      <c r="B3" s="100">
        <v>2</v>
      </c>
      <c r="C3" s="100">
        <v>3</v>
      </c>
      <c r="D3" s="100">
        <v>4</v>
      </c>
      <c r="E3" s="100">
        <v>5</v>
      </c>
      <c r="F3" s="100">
        <v>6</v>
      </c>
      <c r="G3" s="100">
        <v>7</v>
      </c>
    </row>
    <row r="4" spans="1:7" ht="47.25" x14ac:dyDescent="0.25">
      <c r="A4" s="101">
        <v>1</v>
      </c>
      <c r="B4" s="102" t="s">
        <v>203</v>
      </c>
      <c r="C4" s="102" t="s">
        <v>204</v>
      </c>
      <c r="D4" s="100">
        <v>26</v>
      </c>
      <c r="E4" s="100">
        <v>12</v>
      </c>
      <c r="F4" s="100">
        <v>400</v>
      </c>
      <c r="G4" s="103">
        <v>124800</v>
      </c>
    </row>
    <row r="5" spans="1:7" ht="31.5" x14ac:dyDescent="0.25">
      <c r="A5" s="101">
        <v>3</v>
      </c>
      <c r="B5" s="102" t="s">
        <v>205</v>
      </c>
      <c r="C5" s="102"/>
      <c r="D5" s="100">
        <v>8</v>
      </c>
      <c r="E5" s="100">
        <v>12</v>
      </c>
      <c r="F5" s="100">
        <v>634</v>
      </c>
      <c r="G5" s="103">
        <f>D5*E5*F5</f>
        <v>60864</v>
      </c>
    </row>
    <row r="6" spans="1:7" ht="31.5" x14ac:dyDescent="0.25">
      <c r="A6" s="101">
        <v>4</v>
      </c>
      <c r="B6" s="102" t="s">
        <v>206</v>
      </c>
      <c r="C6" s="102"/>
      <c r="D6" s="100">
        <v>9</v>
      </c>
      <c r="E6" s="100">
        <v>12</v>
      </c>
      <c r="F6" s="100">
        <v>57</v>
      </c>
      <c r="G6" s="103">
        <f>D6*E6*F6</f>
        <v>6156</v>
      </c>
    </row>
    <row r="7" spans="1:7" ht="63" x14ac:dyDescent="0.25">
      <c r="A7" s="104">
        <v>5</v>
      </c>
      <c r="B7" s="102" t="s">
        <v>207</v>
      </c>
      <c r="C7" s="105"/>
      <c r="D7" s="100">
        <v>26</v>
      </c>
      <c r="E7" s="100">
        <v>12</v>
      </c>
      <c r="F7" s="100">
        <v>151</v>
      </c>
      <c r="G7" s="103">
        <f>D7*E7*F7</f>
        <v>47112</v>
      </c>
    </row>
    <row r="8" spans="1:7" ht="15.75" x14ac:dyDescent="0.25">
      <c r="A8" s="104">
        <v>6</v>
      </c>
      <c r="B8" s="102" t="s">
        <v>208</v>
      </c>
      <c r="C8" s="102"/>
      <c r="D8" s="100"/>
      <c r="E8" s="100">
        <v>12</v>
      </c>
      <c r="F8" s="100">
        <v>213</v>
      </c>
      <c r="G8" s="103">
        <f>E8*F8</f>
        <v>2556</v>
      </c>
    </row>
    <row r="9" spans="1:7" ht="15.75" x14ac:dyDescent="0.25">
      <c r="A9" s="104">
        <v>8</v>
      </c>
      <c r="B9" s="102" t="s">
        <v>209</v>
      </c>
      <c r="C9" s="102"/>
      <c r="D9" s="100">
        <v>2</v>
      </c>
      <c r="E9" s="100">
        <v>12</v>
      </c>
      <c r="F9" s="100">
        <v>108</v>
      </c>
      <c r="G9" s="106">
        <f>D9*E9*F9</f>
        <v>2592</v>
      </c>
    </row>
    <row r="10" spans="1:7" ht="15.75" x14ac:dyDescent="0.25">
      <c r="A10" s="104">
        <v>9</v>
      </c>
      <c r="B10" s="102" t="s">
        <v>210</v>
      </c>
      <c r="C10" s="102"/>
      <c r="D10" s="100"/>
      <c r="E10" s="100">
        <v>12</v>
      </c>
      <c r="F10" s="100">
        <v>700</v>
      </c>
      <c r="G10" s="103">
        <f>E10*F10</f>
        <v>8400</v>
      </c>
    </row>
    <row r="11" spans="1:7" ht="15.75" x14ac:dyDescent="0.25">
      <c r="A11" s="104">
        <v>10</v>
      </c>
      <c r="B11" s="102" t="s">
        <v>211</v>
      </c>
      <c r="C11" s="102"/>
      <c r="D11" s="100"/>
      <c r="E11" s="100">
        <v>12</v>
      </c>
      <c r="F11" s="100">
        <v>7500</v>
      </c>
      <c r="G11" s="103">
        <f>E11*F11</f>
        <v>90000</v>
      </c>
    </row>
    <row r="12" spans="1:7" ht="15.75" x14ac:dyDescent="0.25">
      <c r="A12" s="104">
        <v>11</v>
      </c>
      <c r="B12" s="102" t="s">
        <v>212</v>
      </c>
      <c r="C12" s="102"/>
      <c r="D12" s="101">
        <v>39</v>
      </c>
      <c r="E12" s="101">
        <v>12</v>
      </c>
      <c r="F12" s="101">
        <v>340</v>
      </c>
      <c r="G12" s="103">
        <f>D12*E12*F12</f>
        <v>159120</v>
      </c>
    </row>
    <row r="13" spans="1:7" ht="15.75" x14ac:dyDescent="0.25">
      <c r="A13" s="104">
        <v>12</v>
      </c>
      <c r="B13" s="102" t="s">
        <v>213</v>
      </c>
      <c r="C13" s="100"/>
      <c r="D13" s="101"/>
      <c r="E13" s="101">
        <v>12</v>
      </c>
      <c r="F13" s="101">
        <v>1500</v>
      </c>
      <c r="G13" s="103">
        <f t="shared" ref="G13:G18" si="0">E13*F13</f>
        <v>18000</v>
      </c>
    </row>
    <row r="14" spans="1:7" ht="15.75" x14ac:dyDescent="0.25">
      <c r="A14" s="104">
        <v>13</v>
      </c>
      <c r="B14" s="102" t="s">
        <v>214</v>
      </c>
      <c r="C14" s="100"/>
      <c r="D14" s="101"/>
      <c r="E14" s="101">
        <v>12</v>
      </c>
      <c r="F14" s="101">
        <v>800</v>
      </c>
      <c r="G14" s="103">
        <f t="shared" si="0"/>
        <v>9600</v>
      </c>
    </row>
    <row r="15" spans="1:7" ht="15.75" x14ac:dyDescent="0.25">
      <c r="A15" s="104">
        <v>14</v>
      </c>
      <c r="B15" s="102" t="s">
        <v>215</v>
      </c>
      <c r="C15" s="100"/>
      <c r="D15" s="101"/>
      <c r="E15" s="101">
        <v>12</v>
      </c>
      <c r="F15" s="101">
        <v>1000</v>
      </c>
      <c r="G15" s="103">
        <f t="shared" si="0"/>
        <v>12000</v>
      </c>
    </row>
    <row r="16" spans="1:7" ht="15.75" x14ac:dyDescent="0.25">
      <c r="A16" s="104">
        <v>15</v>
      </c>
      <c r="B16" s="102" t="s">
        <v>216</v>
      </c>
      <c r="C16" s="100"/>
      <c r="D16" s="101"/>
      <c r="E16" s="101">
        <v>12</v>
      </c>
      <c r="F16" s="101">
        <v>560</v>
      </c>
      <c r="G16" s="103">
        <f t="shared" si="0"/>
        <v>6720</v>
      </c>
    </row>
    <row r="17" spans="1:7" ht="15.75" x14ac:dyDescent="0.25">
      <c r="A17" s="104">
        <v>16</v>
      </c>
      <c r="B17" s="102" t="s">
        <v>217</v>
      </c>
      <c r="C17" s="100"/>
      <c r="D17" s="101"/>
      <c r="E17" s="101">
        <v>12</v>
      </c>
      <c r="F17" s="101">
        <v>13240</v>
      </c>
      <c r="G17" s="103">
        <f t="shared" si="0"/>
        <v>158880</v>
      </c>
    </row>
    <row r="18" spans="1:7" ht="15.75" x14ac:dyDescent="0.25">
      <c r="A18" s="104">
        <v>17</v>
      </c>
      <c r="B18" s="102" t="s">
        <v>218</v>
      </c>
      <c r="C18" s="100"/>
      <c r="D18" s="101"/>
      <c r="E18" s="101">
        <v>12</v>
      </c>
      <c r="F18" s="101">
        <v>16100</v>
      </c>
      <c r="G18" s="103">
        <f t="shared" si="0"/>
        <v>193200</v>
      </c>
    </row>
    <row r="19" spans="1:7" ht="15.75" x14ac:dyDescent="0.25">
      <c r="A19" s="107"/>
      <c r="B19" s="321" t="s">
        <v>75</v>
      </c>
      <c r="C19" s="321"/>
      <c r="D19" s="321"/>
      <c r="E19" s="321"/>
      <c r="F19" s="321"/>
      <c r="G19" s="108">
        <f>SUM(G4:G18)</f>
        <v>900000</v>
      </c>
    </row>
    <row r="20" spans="1:7" x14ac:dyDescent="0.25">
      <c r="A20" s="109"/>
      <c r="B20" s="109"/>
      <c r="C20" s="109"/>
      <c r="D20" s="109"/>
      <c r="E20" s="109"/>
      <c r="F20" s="109"/>
      <c r="G20" s="109"/>
    </row>
    <row r="21" spans="1:7" ht="15.75" x14ac:dyDescent="0.25">
      <c r="A21" s="109"/>
      <c r="B21" s="110" t="s">
        <v>219</v>
      </c>
      <c r="C21" s="109"/>
      <c r="D21" s="109"/>
      <c r="E21" s="109"/>
      <c r="F21" s="109"/>
      <c r="G21" s="109"/>
    </row>
    <row r="22" spans="1:7" ht="15.75" x14ac:dyDescent="0.25">
      <c r="A22" s="104"/>
      <c r="B22" s="102" t="s">
        <v>220</v>
      </c>
      <c r="C22" s="100"/>
      <c r="D22" s="101"/>
      <c r="E22" s="101"/>
      <c r="F22" s="101"/>
      <c r="G22" s="103">
        <v>150000</v>
      </c>
    </row>
    <row r="23" spans="1:7" ht="15.75" x14ac:dyDescent="0.25">
      <c r="A23" s="104"/>
      <c r="B23" s="102" t="s">
        <v>221</v>
      </c>
      <c r="C23" s="100"/>
      <c r="D23" s="101"/>
      <c r="E23" s="101">
        <v>12</v>
      </c>
      <c r="F23" s="101"/>
      <c r="G23" s="103">
        <v>50000</v>
      </c>
    </row>
    <row r="24" spans="1:7" ht="15.75" x14ac:dyDescent="0.25">
      <c r="A24" s="104"/>
      <c r="B24" s="102" t="s">
        <v>222</v>
      </c>
      <c r="C24" s="100"/>
      <c r="D24" s="101"/>
      <c r="E24" s="101"/>
      <c r="F24" s="101"/>
      <c r="G24" s="103">
        <v>100000</v>
      </c>
    </row>
    <row r="26" spans="1:7" x14ac:dyDescent="0.25">
      <c r="A26" s="109"/>
      <c r="B26" s="109"/>
      <c r="C26" s="109"/>
      <c r="D26" s="109"/>
      <c r="E26" s="109"/>
      <c r="F26" s="109"/>
      <c r="G26" s="111">
        <f ca="1">SUM(G22:G51)</f>
        <v>450000</v>
      </c>
    </row>
    <row r="27" spans="1:7" ht="15.75" x14ac:dyDescent="0.25">
      <c r="A27" s="109"/>
      <c r="B27" s="110" t="s">
        <v>223</v>
      </c>
      <c r="C27" s="109"/>
      <c r="D27" s="109"/>
      <c r="E27" s="109"/>
      <c r="F27" s="109"/>
      <c r="G27" s="109"/>
    </row>
    <row r="28" spans="1:7" x14ac:dyDescent="0.25">
      <c r="A28" s="109"/>
      <c r="B28" s="109"/>
      <c r="C28" s="109"/>
      <c r="D28" s="109"/>
      <c r="E28" s="109"/>
      <c r="F28" s="109"/>
      <c r="G28" s="109"/>
    </row>
    <row r="29" spans="1:7" ht="15.75" x14ac:dyDescent="0.25">
      <c r="A29" s="112"/>
      <c r="B29" s="102" t="s">
        <v>224</v>
      </c>
      <c r="C29" s="112"/>
      <c r="D29" s="112"/>
      <c r="E29" s="112"/>
      <c r="F29" s="112"/>
      <c r="G29" s="112">
        <v>156000</v>
      </c>
    </row>
    <row r="30" spans="1:7" ht="15.75" x14ac:dyDescent="0.25">
      <c r="A30" s="112"/>
      <c r="B30" s="102" t="s">
        <v>225</v>
      </c>
      <c r="C30" s="112"/>
      <c r="D30" s="112"/>
      <c r="E30" s="112"/>
      <c r="F30" s="112"/>
      <c r="G30" s="112">
        <v>100000</v>
      </c>
    </row>
    <row r="31" spans="1:7" x14ac:dyDescent="0.25">
      <c r="A31" s="112"/>
      <c r="B31" s="112" t="s">
        <v>226</v>
      </c>
      <c r="C31" s="112"/>
      <c r="D31" s="112">
        <v>20</v>
      </c>
      <c r="E31" s="112"/>
      <c r="F31" s="112">
        <v>2000</v>
      </c>
      <c r="G31" s="112">
        <v>40000</v>
      </c>
    </row>
    <row r="32" spans="1:7" x14ac:dyDescent="0.25">
      <c r="A32" s="109"/>
      <c r="B32" s="113" t="s">
        <v>227</v>
      </c>
      <c r="C32" s="109"/>
      <c r="D32" s="109"/>
      <c r="E32" s="109"/>
      <c r="F32" s="109"/>
      <c r="G32" s="109"/>
    </row>
    <row r="33" spans="1:7" x14ac:dyDescent="0.25">
      <c r="A33" s="109"/>
      <c r="B33" s="109"/>
      <c r="C33" s="109"/>
      <c r="D33" s="109"/>
      <c r="E33" s="109"/>
      <c r="F33" s="109"/>
      <c r="G33" s="109"/>
    </row>
    <row r="34" spans="1:7" x14ac:dyDescent="0.25">
      <c r="A34" s="109"/>
      <c r="B34" s="109"/>
      <c r="C34" s="109"/>
      <c r="D34" s="109"/>
      <c r="E34" s="109"/>
      <c r="F34" s="109"/>
      <c r="G34" s="109"/>
    </row>
    <row r="35" spans="1:7" x14ac:dyDescent="0.25">
      <c r="A35" s="112"/>
      <c r="B35" s="112" t="s">
        <v>228</v>
      </c>
      <c r="C35" s="112"/>
      <c r="D35" s="112">
        <v>6</v>
      </c>
      <c r="E35" s="112"/>
      <c r="F35" s="112">
        <v>40000</v>
      </c>
      <c r="G35" s="112">
        <f>D35*F35</f>
        <v>240000</v>
      </c>
    </row>
    <row r="36" spans="1:7" x14ac:dyDescent="0.25">
      <c r="A36" s="112"/>
      <c r="B36" s="112" t="s">
        <v>229</v>
      </c>
      <c r="C36" s="112"/>
      <c r="D36" s="112">
        <v>6</v>
      </c>
      <c r="E36" s="112"/>
      <c r="F36" s="112">
        <v>36000</v>
      </c>
      <c r="G36" s="112">
        <f>D36*F36</f>
        <v>216000</v>
      </c>
    </row>
    <row r="37" spans="1:7" x14ac:dyDescent="0.25">
      <c r="A37" s="112"/>
      <c r="B37" s="112" t="s">
        <v>230</v>
      </c>
      <c r="C37" s="112"/>
      <c r="D37" s="112">
        <v>32</v>
      </c>
      <c r="E37" s="112"/>
      <c r="F37" s="112">
        <v>22000</v>
      </c>
      <c r="G37" s="112">
        <f>D37*F37</f>
        <v>704000</v>
      </c>
    </row>
    <row r="38" spans="1:7" x14ac:dyDescent="0.25">
      <c r="A38" s="112"/>
      <c r="B38" s="112" t="s">
        <v>231</v>
      </c>
      <c r="C38" s="112"/>
      <c r="D38" s="112">
        <v>20</v>
      </c>
      <c r="E38" s="112"/>
      <c r="F38" s="112">
        <v>2000</v>
      </c>
      <c r="G38" s="112">
        <f>D38*F38</f>
        <v>40000</v>
      </c>
    </row>
    <row r="39" spans="1:7" x14ac:dyDescent="0.25">
      <c r="A39" s="109"/>
      <c r="B39" s="109"/>
      <c r="C39" s="109"/>
      <c r="D39" s="109"/>
      <c r="E39" s="109"/>
      <c r="F39" s="109"/>
      <c r="G39" s="109">
        <f>SUM(G35:G38)</f>
        <v>1200000</v>
      </c>
    </row>
    <row r="40" spans="1:7" x14ac:dyDescent="0.25">
      <c r="A40" s="109"/>
      <c r="B40" s="113" t="s">
        <v>232</v>
      </c>
      <c r="C40" s="109"/>
      <c r="D40" s="109"/>
      <c r="E40" s="109"/>
      <c r="F40" s="109"/>
      <c r="G40" s="109"/>
    </row>
    <row r="41" spans="1:7" x14ac:dyDescent="0.25">
      <c r="A41" s="109"/>
      <c r="B41" s="109"/>
      <c r="C41" s="109"/>
      <c r="D41" s="109"/>
      <c r="E41" s="109"/>
      <c r="F41" s="109"/>
      <c r="G41" s="109"/>
    </row>
    <row r="42" spans="1:7" x14ac:dyDescent="0.25">
      <c r="A42" s="112"/>
      <c r="B42" s="112" t="s">
        <v>233</v>
      </c>
      <c r="C42" s="112"/>
      <c r="D42" s="112">
        <v>150</v>
      </c>
      <c r="E42" s="112"/>
      <c r="F42" s="112">
        <v>3500</v>
      </c>
      <c r="G42" s="112">
        <v>525000</v>
      </c>
    </row>
    <row r="43" spans="1:7" x14ac:dyDescent="0.25">
      <c r="A43" s="112"/>
      <c r="B43" s="112" t="s">
        <v>234</v>
      </c>
      <c r="C43" s="112"/>
      <c r="D43" s="112">
        <v>3</v>
      </c>
      <c r="E43" s="112"/>
      <c r="F43" s="112">
        <v>4000</v>
      </c>
      <c r="G43" s="112">
        <v>12000</v>
      </c>
    </row>
    <row r="44" spans="1:7" x14ac:dyDescent="0.25">
      <c r="A44" s="112"/>
      <c r="B44" s="112" t="s">
        <v>235</v>
      </c>
      <c r="C44" s="112"/>
      <c r="D44" s="112" t="s">
        <v>236</v>
      </c>
      <c r="E44" s="112"/>
      <c r="F44" s="112">
        <v>866</v>
      </c>
      <c r="G44" s="112">
        <v>2598</v>
      </c>
    </row>
    <row r="45" spans="1:7" x14ac:dyDescent="0.25">
      <c r="A45" s="112"/>
      <c r="B45" s="112" t="s">
        <v>237</v>
      </c>
      <c r="C45" s="112"/>
      <c r="D45" s="112">
        <v>15</v>
      </c>
      <c r="E45" s="112"/>
      <c r="F45" s="112">
        <v>1000</v>
      </c>
      <c r="G45" s="112">
        <v>15000</v>
      </c>
    </row>
    <row r="46" spans="1:7" x14ac:dyDescent="0.25">
      <c r="A46" s="112"/>
      <c r="B46" s="114" t="s">
        <v>238</v>
      </c>
      <c r="C46" s="114"/>
      <c r="D46" s="112"/>
      <c r="E46" s="112">
        <v>15</v>
      </c>
      <c r="F46" s="112">
        <v>9000</v>
      </c>
      <c r="G46" s="112">
        <f>E46*F46</f>
        <v>135000</v>
      </c>
    </row>
    <row r="47" spans="1:7" x14ac:dyDescent="0.25">
      <c r="A47" s="112"/>
      <c r="B47" s="114" t="s">
        <v>239</v>
      </c>
      <c r="C47" s="112"/>
      <c r="D47" s="112"/>
      <c r="E47" s="112">
        <v>15</v>
      </c>
      <c r="F47" s="112">
        <v>11000</v>
      </c>
      <c r="G47" s="112">
        <f>E47*F47</f>
        <v>165000</v>
      </c>
    </row>
    <row r="48" spans="1:7" x14ac:dyDescent="0.25">
      <c r="A48" s="112"/>
      <c r="B48" s="112"/>
      <c r="C48" s="112"/>
      <c r="D48" s="112"/>
      <c r="E48" s="112"/>
      <c r="F48" s="112"/>
      <c r="G48" s="112"/>
    </row>
    <row r="49" spans="1:7" x14ac:dyDescent="0.25">
      <c r="A49" s="112"/>
      <c r="B49" s="112" t="s">
        <v>240</v>
      </c>
      <c r="C49" s="112"/>
      <c r="D49" s="112"/>
      <c r="E49" s="112"/>
      <c r="F49" s="112"/>
      <c r="G49" s="115">
        <f>SUM(G29:G48)</f>
        <v>3550598</v>
      </c>
    </row>
    <row r="51" spans="1:7" ht="15.75" x14ac:dyDescent="0.25">
      <c r="A51" s="104"/>
      <c r="B51" s="102" t="s">
        <v>27</v>
      </c>
      <c r="C51" s="100"/>
      <c r="D51" s="101"/>
      <c r="E51" s="101"/>
      <c r="F51" s="101"/>
      <c r="G51" s="116">
        <v>150000</v>
      </c>
    </row>
    <row r="53" spans="1:7" ht="38.25" customHeight="1" x14ac:dyDescent="0.25">
      <c r="A53" s="70" t="s">
        <v>132</v>
      </c>
      <c r="B53" s="70" t="s">
        <v>241</v>
      </c>
      <c r="C53" s="70" t="s">
        <v>242</v>
      </c>
      <c r="D53" s="70" t="s">
        <v>199</v>
      </c>
      <c r="E53" s="70"/>
      <c r="F53" s="70" t="s">
        <v>243</v>
      </c>
      <c r="G53" s="70" t="s">
        <v>244</v>
      </c>
    </row>
    <row r="54" spans="1:7" x14ac:dyDescent="0.25">
      <c r="A54" s="70">
        <v>1</v>
      </c>
      <c r="B54" s="70">
        <v>2</v>
      </c>
      <c r="C54" s="70">
        <v>3</v>
      </c>
      <c r="D54" s="70">
        <v>4</v>
      </c>
      <c r="E54" s="70"/>
      <c r="F54" s="70">
        <v>5</v>
      </c>
      <c r="G54" s="70">
        <v>6</v>
      </c>
    </row>
    <row r="55" spans="1:7" ht="15.75" x14ac:dyDescent="0.25">
      <c r="A55" s="66">
        <v>1</v>
      </c>
      <c r="B55" s="36" t="s">
        <v>245</v>
      </c>
      <c r="C55" s="66" t="s">
        <v>246</v>
      </c>
      <c r="D55" s="66">
        <v>8</v>
      </c>
      <c r="E55" s="66"/>
      <c r="F55" s="117">
        <v>35000</v>
      </c>
      <c r="G55" s="42">
        <f>D55*F55</f>
        <v>280000</v>
      </c>
    </row>
    <row r="56" spans="1:7" ht="15.75" x14ac:dyDescent="0.25">
      <c r="A56" s="66">
        <f t="shared" ref="A56:A61" si="1">A55+1</f>
        <v>2</v>
      </c>
      <c r="B56" s="36" t="s">
        <v>247</v>
      </c>
      <c r="C56" s="66" t="s">
        <v>246</v>
      </c>
      <c r="D56" s="66">
        <v>2</v>
      </c>
      <c r="E56" s="66"/>
      <c r="F56" s="117">
        <v>50000</v>
      </c>
      <c r="G56" s="42">
        <f t="shared" ref="G56:G61" si="2">D56*F56</f>
        <v>100000</v>
      </c>
    </row>
    <row r="57" spans="1:7" ht="15.75" x14ac:dyDescent="0.25">
      <c r="A57" s="66">
        <f t="shared" si="1"/>
        <v>3</v>
      </c>
      <c r="B57" s="27" t="s">
        <v>248</v>
      </c>
      <c r="C57" s="66" t="s">
        <v>249</v>
      </c>
      <c r="D57" s="66">
        <v>3</v>
      </c>
      <c r="E57" s="66"/>
      <c r="F57" s="117">
        <v>11000</v>
      </c>
      <c r="G57" s="42">
        <f t="shared" si="2"/>
        <v>33000</v>
      </c>
    </row>
    <row r="58" spans="1:7" ht="15.75" x14ac:dyDescent="0.25">
      <c r="A58" s="66">
        <f t="shared" si="1"/>
        <v>4</v>
      </c>
      <c r="B58" s="27" t="s">
        <v>250</v>
      </c>
      <c r="C58" s="66" t="s">
        <v>246</v>
      </c>
      <c r="D58" s="66">
        <v>10</v>
      </c>
      <c r="E58" s="66"/>
      <c r="F58" s="117">
        <v>5000</v>
      </c>
      <c r="G58" s="42">
        <f t="shared" si="2"/>
        <v>50000</v>
      </c>
    </row>
    <row r="59" spans="1:7" ht="15.75" x14ac:dyDescent="0.25">
      <c r="A59" s="66">
        <f t="shared" si="1"/>
        <v>5</v>
      </c>
      <c r="B59" s="27" t="s">
        <v>251</v>
      </c>
      <c r="C59" s="66" t="s">
        <v>246</v>
      </c>
      <c r="D59" s="66">
        <v>2</v>
      </c>
      <c r="E59" s="66"/>
      <c r="F59" s="117">
        <v>2502</v>
      </c>
      <c r="G59" s="42">
        <f t="shared" si="2"/>
        <v>5004</v>
      </c>
    </row>
    <row r="60" spans="1:7" ht="15.75" x14ac:dyDescent="0.25">
      <c r="A60" s="66">
        <f t="shared" si="1"/>
        <v>6</v>
      </c>
      <c r="B60" s="27" t="s">
        <v>252</v>
      </c>
      <c r="C60" s="19" t="s">
        <v>246</v>
      </c>
      <c r="D60" s="66">
        <v>1</v>
      </c>
      <c r="E60" s="66"/>
      <c r="F60" s="117">
        <v>30000</v>
      </c>
      <c r="G60" s="42">
        <f t="shared" si="2"/>
        <v>30000</v>
      </c>
    </row>
    <row r="61" spans="1:7" ht="15.75" x14ac:dyDescent="0.25">
      <c r="A61" s="66">
        <f t="shared" si="1"/>
        <v>7</v>
      </c>
      <c r="B61" s="27" t="s">
        <v>253</v>
      </c>
      <c r="C61" s="66" t="s">
        <v>246</v>
      </c>
      <c r="D61" s="66">
        <v>1</v>
      </c>
      <c r="E61" s="66"/>
      <c r="F61" s="117">
        <v>70000</v>
      </c>
      <c r="G61" s="42">
        <f t="shared" si="2"/>
        <v>70000</v>
      </c>
    </row>
    <row r="62" spans="1:7" ht="15.75" x14ac:dyDescent="0.25">
      <c r="A62" s="72"/>
      <c r="B62" s="36" t="s">
        <v>75</v>
      </c>
      <c r="C62" s="19"/>
      <c r="D62" s="19"/>
      <c r="E62" s="19"/>
      <c r="F62" s="37"/>
      <c r="G62" s="118">
        <f>SUM(G54:G61)</f>
        <v>568010</v>
      </c>
    </row>
  </sheetData>
  <mergeCells count="2">
    <mergeCell ref="B1:G1"/>
    <mergeCell ref="B19:F19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B1" sqref="B1:B1048576"/>
    </sheetView>
  </sheetViews>
  <sheetFormatPr defaultRowHeight="15" x14ac:dyDescent="0.25"/>
  <cols>
    <col min="2" max="2" width="31.42578125" customWidth="1"/>
    <col min="6" max="6" width="9.140625" customWidth="1"/>
  </cols>
  <sheetData>
    <row r="1" spans="1:6" ht="126" x14ac:dyDescent="0.25">
      <c r="A1" s="80" t="s">
        <v>132</v>
      </c>
      <c r="B1" s="80" t="s">
        <v>197</v>
      </c>
      <c r="C1" s="82" t="s">
        <v>198</v>
      </c>
      <c r="D1" s="82" t="s">
        <v>254</v>
      </c>
      <c r="E1" s="80" t="s">
        <v>255</v>
      </c>
      <c r="F1" s="80" t="s">
        <v>256</v>
      </c>
    </row>
    <row r="2" spans="1:6" ht="15.75" x14ac:dyDescent="0.25">
      <c r="A2" s="82">
        <v>1</v>
      </c>
      <c r="B2" s="83">
        <v>2</v>
      </c>
      <c r="C2" s="83">
        <v>3</v>
      </c>
      <c r="D2" s="83">
        <v>4</v>
      </c>
      <c r="E2" s="83">
        <v>5</v>
      </c>
      <c r="F2" s="83">
        <v>6</v>
      </c>
    </row>
    <row r="3" spans="1:6" ht="15.75" x14ac:dyDescent="0.25">
      <c r="A3" s="84">
        <v>1</v>
      </c>
      <c r="B3" s="119" t="s">
        <v>257</v>
      </c>
      <c r="C3" s="83" t="s">
        <v>258</v>
      </c>
      <c r="D3" s="85">
        <v>42600</v>
      </c>
      <c r="E3" s="85">
        <v>4.7</v>
      </c>
      <c r="F3" s="86">
        <f>D3*E3/1000</f>
        <v>152.75</v>
      </c>
    </row>
    <row r="4" spans="1:6" ht="15.75" x14ac:dyDescent="0.25">
      <c r="A4" s="84">
        <v>2</v>
      </c>
      <c r="B4" s="80" t="s">
        <v>259</v>
      </c>
      <c r="C4" s="83" t="s">
        <v>260</v>
      </c>
      <c r="D4" s="85">
        <v>488300</v>
      </c>
      <c r="E4" s="85">
        <v>4.2</v>
      </c>
      <c r="F4" s="86">
        <f>D4*E4/1000</f>
        <v>1617</v>
      </c>
    </row>
    <row r="5" spans="1:6" ht="15.75" x14ac:dyDescent="0.25">
      <c r="A5" s="84">
        <v>3</v>
      </c>
      <c r="B5" s="80" t="s">
        <v>261</v>
      </c>
      <c r="C5" s="83" t="s">
        <v>262</v>
      </c>
      <c r="D5" s="85">
        <v>71.69</v>
      </c>
      <c r="E5" s="85">
        <v>821.58</v>
      </c>
      <c r="F5" s="86">
        <f>D5*E5/1000</f>
        <v>58.554006600000001</v>
      </c>
    </row>
    <row r="6" spans="1:6" ht="15.75" x14ac:dyDescent="0.25">
      <c r="A6" s="84">
        <v>4</v>
      </c>
      <c r="B6" s="119" t="s">
        <v>263</v>
      </c>
      <c r="C6" s="83" t="s">
        <v>258</v>
      </c>
      <c r="D6" s="85">
        <v>25454.5</v>
      </c>
      <c r="E6" s="85">
        <v>11</v>
      </c>
      <c r="F6" s="86">
        <f>D6*E6/1000</f>
        <v>271.7</v>
      </c>
    </row>
    <row r="7" spans="1:6" ht="15.75" x14ac:dyDescent="0.25">
      <c r="A7" s="93"/>
      <c r="B7" s="120" t="s">
        <v>75</v>
      </c>
      <c r="C7" s="119"/>
      <c r="D7" s="119"/>
      <c r="E7" s="119"/>
      <c r="F7" s="121">
        <f>SUM(F3:F6)</f>
        <v>2100.0040066000001</v>
      </c>
    </row>
    <row r="8" spans="1:6" x14ac:dyDescent="0.25">
      <c r="A8" s="4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2" sqref="B1:B1048576"/>
    </sheetView>
  </sheetViews>
  <sheetFormatPr defaultRowHeight="15" x14ac:dyDescent="0.25"/>
  <cols>
    <col min="2" max="2" width="37.5703125" customWidth="1"/>
  </cols>
  <sheetData>
    <row r="1" spans="1:5" ht="15.75" x14ac:dyDescent="0.25">
      <c r="A1" s="122"/>
      <c r="B1" s="322" t="s">
        <v>264</v>
      </c>
      <c r="C1" s="322"/>
      <c r="D1" s="322"/>
      <c r="E1" s="322"/>
    </row>
    <row r="2" spans="1:5" x14ac:dyDescent="0.25">
      <c r="A2" s="122"/>
      <c r="B2" s="123"/>
      <c r="C2" s="123"/>
      <c r="D2" s="123"/>
      <c r="E2" s="123"/>
    </row>
    <row r="3" spans="1:5" ht="63" x14ac:dyDescent="0.25">
      <c r="A3" s="66" t="s">
        <v>132</v>
      </c>
      <c r="B3" s="66" t="s">
        <v>265</v>
      </c>
      <c r="C3" s="66" t="s">
        <v>266</v>
      </c>
      <c r="D3" s="66" t="s">
        <v>267</v>
      </c>
      <c r="E3" s="66" t="s">
        <v>244</v>
      </c>
    </row>
    <row r="4" spans="1:5" ht="15.75" x14ac:dyDescent="0.25">
      <c r="A4" s="66">
        <v>1</v>
      </c>
      <c r="B4" s="66">
        <v>2</v>
      </c>
      <c r="C4" s="66">
        <v>3</v>
      </c>
      <c r="D4" s="66">
        <v>4</v>
      </c>
      <c r="E4" s="66">
        <v>5</v>
      </c>
    </row>
    <row r="5" spans="1:5" ht="31.5" x14ac:dyDescent="0.25">
      <c r="A5" s="19">
        <v>1</v>
      </c>
      <c r="B5" s="27" t="s">
        <v>268</v>
      </c>
      <c r="C5" s="66">
        <v>12</v>
      </c>
      <c r="D5" s="66">
        <v>50000</v>
      </c>
      <c r="E5" s="42">
        <v>800</v>
      </c>
    </row>
    <row r="6" spans="1:5" ht="31.5" x14ac:dyDescent="0.25">
      <c r="A6" s="19">
        <v>2</v>
      </c>
      <c r="B6" s="27" t="s">
        <v>269</v>
      </c>
      <c r="C6" s="66">
        <v>12</v>
      </c>
      <c r="D6" s="66">
        <v>13000</v>
      </c>
      <c r="E6" s="42">
        <v>196</v>
      </c>
    </row>
    <row r="7" spans="1:5" ht="15.75" x14ac:dyDescent="0.25">
      <c r="A7" s="19"/>
      <c r="B7" s="124" t="s">
        <v>75</v>
      </c>
      <c r="C7" s="36"/>
      <c r="D7" s="36"/>
      <c r="E7" s="125">
        <v>996</v>
      </c>
    </row>
  </sheetData>
  <mergeCells count="1">
    <mergeCell ref="B1:E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B1" sqref="B1:B1048576"/>
    </sheetView>
  </sheetViews>
  <sheetFormatPr defaultRowHeight="15" x14ac:dyDescent="0.25"/>
  <cols>
    <col min="2" max="2" width="28.28515625" customWidth="1"/>
    <col min="3" max="3" width="9.28515625" customWidth="1"/>
  </cols>
  <sheetData>
    <row r="1" spans="1:5" ht="63" x14ac:dyDescent="0.25">
      <c r="A1" s="66" t="s">
        <v>132</v>
      </c>
      <c r="B1" s="35" t="s">
        <v>265</v>
      </c>
      <c r="C1" s="66" t="s">
        <v>199</v>
      </c>
      <c r="D1" s="66" t="s">
        <v>270</v>
      </c>
      <c r="E1" s="66" t="s">
        <v>244</v>
      </c>
    </row>
    <row r="2" spans="1:5" ht="15.75" x14ac:dyDescent="0.25">
      <c r="A2" s="66">
        <v>1</v>
      </c>
      <c r="B2" s="35">
        <v>2</v>
      </c>
      <c r="C2" s="66">
        <v>3</v>
      </c>
      <c r="D2" s="66">
        <v>4</v>
      </c>
      <c r="E2" s="66">
        <v>5</v>
      </c>
    </row>
    <row r="3" spans="1:5" ht="15.75" x14ac:dyDescent="0.25">
      <c r="A3" s="126">
        <v>1</v>
      </c>
      <c r="B3" s="47" t="s">
        <v>271</v>
      </c>
      <c r="C3" s="63">
        <v>36</v>
      </c>
      <c r="D3" s="63">
        <v>15</v>
      </c>
      <c r="E3" s="54">
        <f>C3*D3</f>
        <v>540</v>
      </c>
    </row>
    <row r="4" spans="1:5" ht="15.75" x14ac:dyDescent="0.25">
      <c r="A4" s="126">
        <f>A3+1</f>
        <v>2</v>
      </c>
      <c r="B4" s="47" t="s">
        <v>272</v>
      </c>
      <c r="C4" s="63">
        <v>36</v>
      </c>
      <c r="D4" s="63">
        <v>7</v>
      </c>
      <c r="E4" s="54">
        <f>C4*D4</f>
        <v>252</v>
      </c>
    </row>
    <row r="5" spans="1:5" ht="15.75" x14ac:dyDescent="0.25">
      <c r="A5" s="126">
        <f>A4+1</f>
        <v>3</v>
      </c>
      <c r="B5" s="47"/>
      <c r="C5" s="63"/>
      <c r="D5" s="63"/>
      <c r="E5" s="54">
        <f>SUM(E3:E4)</f>
        <v>792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Смета 2019</vt:lpstr>
      <vt:lpstr>Смета 2020</vt:lpstr>
      <vt:lpstr>Смета 2021</vt:lpstr>
      <vt:lpstr>111 211</vt:lpstr>
      <vt:lpstr>112 212</vt:lpstr>
      <vt:lpstr>242</vt:lpstr>
      <vt:lpstr>244 223</vt:lpstr>
      <vt:lpstr>244 224</vt:lpstr>
      <vt:lpstr>244 225</vt:lpstr>
      <vt:lpstr>244 310</vt:lpstr>
      <vt:lpstr>244 340</vt:lpstr>
      <vt:lpstr>'111 211'!Область_печати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2018-08-31T11:31:30Z</cp:lastPrinted>
  <dcterms:created xsi:type="dcterms:W3CDTF">2018-07-28T10:23:33Z</dcterms:created>
  <dcterms:modified xsi:type="dcterms:W3CDTF">2018-09-24T09:56:39Z</dcterms:modified>
</cp:coreProperties>
</file>